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6.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K:\C A P  R A T E  S T U D I E S\CAP RATE STUDY 2023\2023 CAP Rate Study - All Industries\(3) Reviewed\"/>
    </mc:Choice>
  </mc:AlternateContent>
  <xr:revisionPtr revIDLastSave="0" documentId="13_ncr:1_{477EEC84-DFFA-43D4-9312-6CEA24608175}" xr6:coauthVersionLast="47" xr6:coauthVersionMax="47" xr10:uidLastSave="{00000000-0000-0000-0000-000000000000}"/>
  <bookViews>
    <workbookView xWindow="-120" yWindow="-120" windowWidth="24240" windowHeight="13140" activeTab="1" xr2:uid="{00000000-000D-0000-FFFF-FFFF00000000}"/>
  </bookViews>
  <sheets>
    <sheet name="Cover Sheet" sheetId="6" r:id="rId1"/>
    <sheet name="Yield CapRate" sheetId="7" r:id="rId2"/>
    <sheet name="Direct CapRates" sheetId="10" r:id="rId3"/>
    <sheet name="S&amp;D" sheetId="3" r:id="rId4"/>
    <sheet name="Market to Book Ratios" sheetId="29" r:id="rId5"/>
    <sheet name="Maintenance CapEx" sheetId="11" r:id="rId6"/>
    <sheet name="Beta for CAPM" sheetId="14" r:id="rId7"/>
    <sheet name="Earnings" sheetId="27" r:id="rId8"/>
    <sheet name="Dividends " sheetId="17" r:id="rId9"/>
    <sheet name="Direct Debt" sheetId="13" r:id="rId10"/>
    <sheet name="Yield Debt" sheetId="8" r:id="rId11"/>
    <sheet name="Direct GCF" sheetId="5" r:id="rId12"/>
    <sheet name="Direct NOPAT" sheetId="12" r:id="rId13"/>
    <sheet name="Growth &amp; Inflation Rates" sheetId="24" r:id="rId14"/>
    <sheet name="Indicated Yield Equity Rate " sheetId="36" r:id="rId15"/>
    <sheet name="CAPM" sheetId="35" r:id="rId16"/>
    <sheet name="Single Stage Div Growth Model" sheetId="19" r:id="rId17"/>
    <sheet name="Two-Stage Dividend Growth Model" sheetId="20" r:id="rId18"/>
    <sheet name="Multiples" sheetId="31" r:id="rId19"/>
    <sheet name="Info" sheetId="9" r:id="rId20"/>
  </sheets>
  <definedNames>
    <definedName name="_xlnm.Print_Area" localSheetId="6">'Beta for CAPM'!$A$1:$I$37</definedName>
    <definedName name="_xlnm.Print_Area" localSheetId="15">CAPM!$A$1:$H$84</definedName>
    <definedName name="_xlnm.Print_Area" localSheetId="0">'Cover Sheet'!$A$1:$I$37</definedName>
    <definedName name="_xlnm.Print_Area" localSheetId="2">'Direct CapRates'!$A$1:$H$66</definedName>
    <definedName name="_xlnm.Print_Area" localSheetId="9">'Direct Debt'!$A$1:$K$34</definedName>
    <definedName name="_xlnm.Print_Area" localSheetId="11">'Direct GCF'!$A$1:$N$34</definedName>
    <definedName name="_xlnm.Print_Area" localSheetId="12">'Direct NOPAT'!$A$1:$N$60</definedName>
    <definedName name="_xlnm.Print_Area" localSheetId="8">'Dividends '!$A$1:$K$31</definedName>
    <definedName name="_xlnm.Print_Area" localSheetId="7">Earnings!$A$1:$K$31</definedName>
    <definedName name="_xlnm.Print_Area" localSheetId="13">'Growth &amp; Inflation Rates'!$A$1:$H$116</definedName>
    <definedName name="_xlnm.Print_Area" localSheetId="14">'Indicated Yield Equity Rate '!$A$1:$F$63</definedName>
    <definedName name="_xlnm.Print_Area" localSheetId="5">'Maintenance CapEx'!$A$1:$L$77</definedName>
    <definedName name="_xlnm.Print_Area" localSheetId="4">'Market to Book Ratios'!$A$1:$G$60</definedName>
    <definedName name="_xlnm.Print_Area" localSheetId="18">Multiples!$A$1:$I$38</definedName>
    <definedName name="_xlnm.Print_Area" localSheetId="3">'S&amp;D'!$A$1:$L$77</definedName>
    <definedName name="_xlnm.Print_Area" localSheetId="16">'Single Stage Div Growth Model'!$A$1:$K$45</definedName>
    <definedName name="_xlnm.Print_Area" localSheetId="17">'Two-Stage Dividend Growth Model'!$A$1:$I$43</definedName>
    <definedName name="_xlnm.Print_Area" localSheetId="1">'Yield CapRate'!$A$1:$H$35</definedName>
    <definedName name="_xlnm.Print_Area" localSheetId="10">'Yield Debt'!$A$1:$M$64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93" i="24" l="1"/>
  <c r="E90" i="24"/>
  <c r="E89" i="24"/>
  <c r="D86" i="24"/>
  <c r="F86" i="24" s="1"/>
  <c r="F85" i="24"/>
  <c r="D85" i="24"/>
  <c r="D84" i="24"/>
  <c r="F84" i="24" s="1"/>
  <c r="F83" i="24"/>
  <c r="D83" i="24"/>
  <c r="D82" i="24"/>
  <c r="F82" i="24" s="1"/>
  <c r="F81" i="24"/>
  <c r="D81" i="24"/>
  <c r="D80" i="24"/>
  <c r="D90" i="24" s="1"/>
  <c r="F90" i="24" s="1"/>
  <c r="F79" i="24"/>
  <c r="D79" i="24"/>
  <c r="D89" i="24" s="1"/>
  <c r="F89" i="24" s="1"/>
  <c r="I20" i="13"/>
  <c r="C20" i="35"/>
  <c r="C46" i="35" s="1"/>
  <c r="E46" i="35"/>
  <c r="B46" i="35"/>
  <c r="D20" i="35"/>
  <c r="D15" i="10"/>
  <c r="F80" i="24" l="1"/>
  <c r="D46" i="35"/>
  <c r="A6" i="35"/>
  <c r="A48" i="35"/>
  <c r="A47" i="35"/>
  <c r="A45" i="35"/>
  <c r="B59" i="35"/>
  <c r="E59" i="35" s="1"/>
  <c r="B58" i="35"/>
  <c r="E58" i="35" s="1"/>
  <c r="B48" i="35"/>
  <c r="B47" i="35"/>
  <c r="E47" i="35" s="1"/>
  <c r="A6" i="31"/>
  <c r="A6" i="20"/>
  <c r="A6" i="19"/>
  <c r="A6" i="36"/>
  <c r="A7" i="24"/>
  <c r="A6" i="12"/>
  <c r="A6" i="5"/>
  <c r="A6" i="8"/>
  <c r="A6" i="13"/>
  <c r="A6" i="17"/>
  <c r="A6" i="27"/>
  <c r="A8" i="14"/>
  <c r="A8" i="11"/>
  <c r="A9" i="29"/>
  <c r="D16" i="7"/>
  <c r="D48" i="10"/>
  <c r="A16" i="6"/>
  <c r="E16" i="35"/>
  <c r="E33" i="35" s="1"/>
  <c r="F59" i="35" s="1"/>
  <c r="C16" i="35"/>
  <c r="C35" i="35" s="1"/>
  <c r="D35" i="35" s="1"/>
  <c r="B61" i="35"/>
  <c r="E61" i="35" s="1"/>
  <c r="B57" i="35"/>
  <c r="E57" i="35" s="1"/>
  <c r="B55" i="35"/>
  <c r="E55" i="35" s="1"/>
  <c r="B54" i="35"/>
  <c r="E54" i="35" s="1"/>
  <c r="B52" i="35"/>
  <c r="E52" i="35" s="1"/>
  <c r="B50" i="35"/>
  <c r="E50" i="35" s="1"/>
  <c r="B45" i="35"/>
  <c r="E45" i="35" s="1"/>
  <c r="B43" i="35"/>
  <c r="E43" i="35" s="1"/>
  <c r="B42" i="35"/>
  <c r="E42" i="35" s="1"/>
  <c r="E22" i="35" l="1"/>
  <c r="F48" i="35" s="1"/>
  <c r="C21" i="35"/>
  <c r="C22" i="35"/>
  <c r="C29" i="35"/>
  <c r="D29" i="35" s="1"/>
  <c r="E21" i="35"/>
  <c r="F47" i="35" s="1"/>
  <c r="E48" i="35"/>
  <c r="C19" i="35"/>
  <c r="C45" i="35" s="1"/>
  <c r="D45" i="35" s="1"/>
  <c r="C42" i="35"/>
  <c r="C31" i="35"/>
  <c r="C57" i="35" s="1"/>
  <c r="D57" i="35" s="1"/>
  <c r="C28" i="35"/>
  <c r="C54" i="35" s="1"/>
  <c r="D54" i="35" s="1"/>
  <c r="F42" i="35"/>
  <c r="E28" i="35"/>
  <c r="F54" i="35" s="1"/>
  <c r="E35" i="35"/>
  <c r="F61" i="35" s="1"/>
  <c r="E17" i="35"/>
  <c r="E20" i="35" s="1"/>
  <c r="E19" i="35"/>
  <c r="F45" i="35" s="1"/>
  <c r="E29" i="35"/>
  <c r="F55" i="35" s="1"/>
  <c r="E24" i="35"/>
  <c r="F50" i="35" s="1"/>
  <c r="E31" i="35"/>
  <c r="F57" i="35" s="1"/>
  <c r="E26" i="35"/>
  <c r="F52" i="35" s="1"/>
  <c r="C17" i="35"/>
  <c r="C26" i="35"/>
  <c r="C33" i="35"/>
  <c r="C59" i="35" s="1"/>
  <c r="D59" i="35" s="1"/>
  <c r="G59" i="35" s="1"/>
  <c r="D41" i="36" s="1"/>
  <c r="D42" i="35"/>
  <c r="D16" i="35"/>
  <c r="F16" i="35" s="1"/>
  <c r="C24" i="35"/>
  <c r="F29" i="35" l="1"/>
  <c r="F46" i="35"/>
  <c r="G46" i="35" s="1"/>
  <c r="D32" i="36" s="1"/>
  <c r="F20" i="35"/>
  <c r="D18" i="36" s="1"/>
  <c r="G54" i="35"/>
  <c r="D37" i="36" s="1"/>
  <c r="F35" i="35"/>
  <c r="D28" i="36" s="1"/>
  <c r="C43" i="35"/>
  <c r="D43" i="35" s="1"/>
  <c r="C32" i="35"/>
  <c r="G42" i="35"/>
  <c r="D29" i="36" s="1"/>
  <c r="D19" i="35"/>
  <c r="F19" i="35" s="1"/>
  <c r="F43" i="35"/>
  <c r="G43" i="35" s="1"/>
  <c r="D30" i="36" s="1"/>
  <c r="E32" i="35"/>
  <c r="F58" i="35" s="1"/>
  <c r="C55" i="35"/>
  <c r="D55" i="35" s="1"/>
  <c r="G55" i="35" s="1"/>
  <c r="D38" i="36" s="1"/>
  <c r="G57" i="35"/>
  <c r="D39" i="36" s="1"/>
  <c r="D22" i="35"/>
  <c r="F22" i="35" s="1"/>
  <c r="D20" i="36" s="1"/>
  <c r="C48" i="35"/>
  <c r="D48" i="35" s="1"/>
  <c r="G48" i="35" s="1"/>
  <c r="D34" i="36" s="1"/>
  <c r="D28" i="35"/>
  <c r="F28" i="35" s="1"/>
  <c r="D31" i="35"/>
  <c r="C47" i="35"/>
  <c r="D47" i="35" s="1"/>
  <c r="G47" i="35" s="1"/>
  <c r="D33" i="36" s="1"/>
  <c r="D21" i="35"/>
  <c r="F21" i="35" s="1"/>
  <c r="D19" i="36" s="1"/>
  <c r="G45" i="35"/>
  <c r="D31" i="36" s="1"/>
  <c r="D17" i="35"/>
  <c r="F17" i="35" s="1"/>
  <c r="F31" i="35"/>
  <c r="D25" i="36" s="1"/>
  <c r="C50" i="35"/>
  <c r="D50" i="35" s="1"/>
  <c r="G50" i="35" s="1"/>
  <c r="D35" i="36" s="1"/>
  <c r="D24" i="35"/>
  <c r="F24" i="35" s="1"/>
  <c r="D26" i="35"/>
  <c r="F26" i="35" s="1"/>
  <c r="C52" i="35"/>
  <c r="D52" i="35" s="1"/>
  <c r="G52" i="35" s="1"/>
  <c r="D36" i="36" s="1"/>
  <c r="C61" i="35"/>
  <c r="D61" i="35" s="1"/>
  <c r="G61" i="35" s="1"/>
  <c r="D42" i="36" s="1"/>
  <c r="D33" i="35"/>
  <c r="F33" i="35" s="1"/>
  <c r="D27" i="36" s="1"/>
  <c r="D32" i="35" l="1"/>
  <c r="F32" i="35" s="1"/>
  <c r="D26" i="36" s="1"/>
  <c r="C58" i="35"/>
  <c r="D58" i="35" s="1"/>
  <c r="G58" i="35" s="1"/>
  <c r="D40" i="36" s="1"/>
  <c r="J27" i="8"/>
  <c r="I27" i="8"/>
  <c r="G27" i="8"/>
  <c r="D23" i="7"/>
  <c r="D46" i="36"/>
  <c r="D45" i="36"/>
  <c r="D44" i="36"/>
  <c r="D43" i="36"/>
  <c r="H19" i="31" l="1"/>
  <c r="F19" i="31"/>
  <c r="D19" i="31"/>
  <c r="C19" i="31"/>
  <c r="B19" i="31"/>
  <c r="E24" i="20"/>
  <c r="D24" i="20"/>
  <c r="C24" i="20"/>
  <c r="B24" i="20"/>
  <c r="A24" i="20"/>
  <c r="J20" i="19"/>
  <c r="I20" i="19"/>
  <c r="F20" i="19"/>
  <c r="E20" i="19"/>
  <c r="D20" i="19"/>
  <c r="C20" i="19"/>
  <c r="B20" i="19"/>
  <c r="A20" i="19"/>
  <c r="D49" i="12"/>
  <c r="F49" i="12" s="1"/>
  <c r="G49" i="12" s="1"/>
  <c r="C49" i="12"/>
  <c r="A49" i="12"/>
  <c r="D19" i="12"/>
  <c r="J19" i="12" s="1"/>
  <c r="L19" i="12" s="1"/>
  <c r="M19" i="12" s="1"/>
  <c r="C19" i="12"/>
  <c r="A19" i="12"/>
  <c r="E20" i="5"/>
  <c r="F20" i="5" s="1"/>
  <c r="C20" i="5"/>
  <c r="I20" i="5" s="1"/>
  <c r="L20" i="5" s="1"/>
  <c r="M20" i="5" s="1"/>
  <c r="B20" i="5"/>
  <c r="H20" i="5" s="1"/>
  <c r="A20" i="5"/>
  <c r="E18" i="8"/>
  <c r="D18" i="8"/>
  <c r="C18" i="8"/>
  <c r="B18" i="8"/>
  <c r="A18" i="8"/>
  <c r="G22" i="13"/>
  <c r="F22" i="13"/>
  <c r="H22" i="13" s="1"/>
  <c r="B22" i="13"/>
  <c r="A22" i="13"/>
  <c r="K19" i="27"/>
  <c r="J19" i="27"/>
  <c r="H19" i="27"/>
  <c r="F19" i="27"/>
  <c r="D19" i="27"/>
  <c r="C19" i="27"/>
  <c r="B19" i="27"/>
  <c r="A19" i="27"/>
  <c r="K19" i="17"/>
  <c r="J19" i="17"/>
  <c r="H19" i="17"/>
  <c r="F19" i="17"/>
  <c r="D19" i="17"/>
  <c r="C19" i="17"/>
  <c r="B19" i="17"/>
  <c r="A19" i="17"/>
  <c r="C21" i="14"/>
  <c r="B21" i="14"/>
  <c r="A21" i="14"/>
  <c r="C23" i="11"/>
  <c r="B23" i="11"/>
  <c r="A23" i="11"/>
  <c r="E43" i="29"/>
  <c r="D43" i="29"/>
  <c r="C43" i="29"/>
  <c r="B43" i="29"/>
  <c r="A43" i="29"/>
  <c r="D25" i="29"/>
  <c r="F25" i="29" s="1"/>
  <c r="C25" i="29"/>
  <c r="B25" i="29"/>
  <c r="A25" i="29"/>
  <c r="E41" i="3"/>
  <c r="I41" i="3" s="1"/>
  <c r="J41" i="3" s="1"/>
  <c r="D41" i="3"/>
  <c r="C41" i="3"/>
  <c r="B41" i="3"/>
  <c r="A41" i="3"/>
  <c r="F25" i="3"/>
  <c r="J25" i="3"/>
  <c r="D15" i="36" l="1"/>
  <c r="F43" i="29"/>
  <c r="F23" i="11"/>
  <c r="H23" i="11" s="1"/>
  <c r="J23" i="11" s="1"/>
  <c r="F19" i="12"/>
  <c r="G19" i="12" s="1"/>
  <c r="K41" i="3"/>
  <c r="I23" i="11" l="1"/>
  <c r="D17" i="36"/>
  <c r="D23" i="36"/>
  <c r="D22" i="36"/>
  <c r="D21" i="36"/>
  <c r="D16" i="36"/>
  <c r="D24" i="36"/>
  <c r="K23" i="11"/>
  <c r="L23" i="11" s="1"/>
  <c r="J24" i="3"/>
  <c r="D22" i="11"/>
  <c r="E22" i="11"/>
  <c r="F22" i="11" s="1"/>
  <c r="C21" i="13"/>
  <c r="E21" i="13"/>
  <c r="D21" i="13" s="1"/>
  <c r="D52" i="36" l="1"/>
  <c r="D50" i="36"/>
  <c r="D51" i="36"/>
  <c r="J23" i="3"/>
  <c r="E20" i="13"/>
  <c r="D20" i="13" s="1"/>
  <c r="J22" i="3" l="1"/>
  <c r="H38" i="3" s="1"/>
  <c r="J27" i="3" l="1"/>
  <c r="H43" i="3" s="1"/>
  <c r="J28" i="3"/>
  <c r="H44" i="3" s="1"/>
  <c r="E25" i="13"/>
  <c r="D25" i="11"/>
  <c r="E25" i="11"/>
  <c r="H27" i="3"/>
  <c r="J26" i="3"/>
  <c r="H42" i="3" s="1"/>
  <c r="H40" i="3"/>
  <c r="H39" i="3"/>
  <c r="F39" i="3"/>
  <c r="M32" i="5" l="1"/>
  <c r="L32" i="5"/>
  <c r="C26" i="11" l="1"/>
  <c r="C25" i="11"/>
  <c r="C24" i="11"/>
  <c r="C22" i="11"/>
  <c r="C21" i="11"/>
  <c r="C20" i="11"/>
  <c r="H22" i="3" l="1"/>
  <c r="B23" i="5"/>
  <c r="B22" i="5"/>
  <c r="B21" i="5"/>
  <c r="B19" i="5"/>
  <c r="B18" i="5"/>
  <c r="B17" i="5"/>
  <c r="A23" i="5"/>
  <c r="A22" i="5"/>
  <c r="A21" i="5"/>
  <c r="A19" i="5"/>
  <c r="A18" i="5"/>
  <c r="A17" i="5"/>
  <c r="F28" i="3"/>
  <c r="F27" i="3"/>
  <c r="F26" i="3"/>
  <c r="F24" i="3"/>
  <c r="F23" i="3"/>
  <c r="F22" i="3"/>
  <c r="F21" i="20" l="1"/>
  <c r="F27" i="20" l="1"/>
  <c r="F23" i="20"/>
  <c r="F26" i="20"/>
  <c r="F22" i="20"/>
  <c r="F25" i="20"/>
  <c r="F24" i="20"/>
  <c r="G24" i="20" s="1"/>
  <c r="H24" i="20" s="1"/>
  <c r="G24" i="24"/>
  <c r="G25" i="13"/>
  <c r="G24" i="13"/>
  <c r="G23" i="13"/>
  <c r="G21" i="13"/>
  <c r="G20" i="13"/>
  <c r="G19" i="13"/>
  <c r="F23" i="13" l="1"/>
  <c r="F25" i="13"/>
  <c r="F24" i="13"/>
  <c r="F21" i="13"/>
  <c r="F20" i="13"/>
  <c r="F19" i="13"/>
  <c r="E40" i="29"/>
  <c r="E27" i="20"/>
  <c r="E26" i="20"/>
  <c r="E25" i="20"/>
  <c r="E23" i="20"/>
  <c r="E22" i="20"/>
  <c r="C27" i="20"/>
  <c r="B27" i="20"/>
  <c r="C26" i="20"/>
  <c r="B26" i="20"/>
  <c r="C25" i="20"/>
  <c r="B25" i="20"/>
  <c r="C23" i="20"/>
  <c r="B23" i="20"/>
  <c r="C22" i="20"/>
  <c r="B22" i="20"/>
  <c r="C21" i="20"/>
  <c r="B21" i="20"/>
  <c r="A27" i="20"/>
  <c r="A26" i="20"/>
  <c r="A25" i="20"/>
  <c r="A23" i="20"/>
  <c r="A22" i="20"/>
  <c r="A21" i="20"/>
  <c r="D23" i="19"/>
  <c r="D22" i="19"/>
  <c r="D21" i="19"/>
  <c r="D19" i="19"/>
  <c r="D18" i="19"/>
  <c r="C23" i="19"/>
  <c r="B23" i="19"/>
  <c r="A23" i="19"/>
  <c r="C22" i="19"/>
  <c r="B22" i="19"/>
  <c r="A22" i="19"/>
  <c r="C21" i="19"/>
  <c r="B21" i="19"/>
  <c r="A21" i="19"/>
  <c r="C19" i="19"/>
  <c r="B19" i="19"/>
  <c r="A19" i="19"/>
  <c r="C18" i="19"/>
  <c r="B18" i="19"/>
  <c r="A18" i="19"/>
  <c r="C17" i="19"/>
  <c r="B17" i="19"/>
  <c r="A17" i="19"/>
  <c r="E21" i="20"/>
  <c r="C22" i="12" l="1"/>
  <c r="A22" i="12"/>
  <c r="C21" i="12"/>
  <c r="A21" i="12"/>
  <c r="C20" i="12"/>
  <c r="A20" i="12"/>
  <c r="C18" i="12"/>
  <c r="A18" i="12"/>
  <c r="C17" i="12"/>
  <c r="A17" i="12"/>
  <c r="C16" i="12"/>
  <c r="A16" i="12"/>
  <c r="C52" i="12"/>
  <c r="A52" i="12"/>
  <c r="C51" i="12"/>
  <c r="A51" i="12"/>
  <c r="C50" i="12"/>
  <c r="A50" i="12"/>
  <c r="C48" i="12"/>
  <c r="A48" i="12"/>
  <c r="C47" i="12"/>
  <c r="A47" i="12"/>
  <c r="C46" i="12"/>
  <c r="A46" i="12"/>
  <c r="G26" i="8" l="1"/>
  <c r="G25" i="8"/>
  <c r="D52" i="12" l="1"/>
  <c r="F52" i="12" s="1"/>
  <c r="G52" i="12" s="1"/>
  <c r="D51" i="12"/>
  <c r="F51" i="12" s="1"/>
  <c r="G51" i="12" s="1"/>
  <c r="D50" i="12"/>
  <c r="F50" i="12" s="1"/>
  <c r="G50" i="12" s="1"/>
  <c r="D48" i="12"/>
  <c r="F48" i="12" s="1"/>
  <c r="G48" i="12" s="1"/>
  <c r="D47" i="12"/>
  <c r="D46" i="12"/>
  <c r="F46" i="12" s="1"/>
  <c r="G46" i="12" s="1"/>
  <c r="E57" i="12"/>
  <c r="E56" i="12"/>
  <c r="F47" i="12" l="1"/>
  <c r="G47" i="12" s="1"/>
  <c r="G56" i="12" s="1"/>
  <c r="F56" i="12" l="1"/>
  <c r="G57" i="12"/>
  <c r="F57" i="12"/>
  <c r="D22" i="31" l="1"/>
  <c r="C22" i="31"/>
  <c r="B22" i="31"/>
  <c r="D21" i="31"/>
  <c r="C21" i="31"/>
  <c r="B21" i="31"/>
  <c r="D20" i="31"/>
  <c r="C20" i="31"/>
  <c r="B20" i="31"/>
  <c r="D18" i="31"/>
  <c r="C18" i="31"/>
  <c r="B18" i="31"/>
  <c r="D17" i="31"/>
  <c r="C17" i="31"/>
  <c r="B17" i="31"/>
  <c r="D16" i="31"/>
  <c r="C16" i="31"/>
  <c r="B16" i="31"/>
  <c r="F16" i="31" l="1"/>
  <c r="H16" i="31"/>
  <c r="F21" i="31"/>
  <c r="H21" i="31"/>
  <c r="F20" i="31"/>
  <c r="H20" i="31"/>
  <c r="F18" i="31"/>
  <c r="H18" i="31"/>
  <c r="F17" i="31"/>
  <c r="H17" i="31"/>
  <c r="F22" i="31"/>
  <c r="H22" i="31"/>
  <c r="F27" i="31" l="1"/>
  <c r="F26" i="31"/>
  <c r="H26" i="31"/>
  <c r="H27" i="31"/>
  <c r="C21" i="8"/>
  <c r="B21" i="8"/>
  <c r="A21" i="8"/>
  <c r="C20" i="8"/>
  <c r="B20" i="8"/>
  <c r="A20" i="8"/>
  <c r="C19" i="8"/>
  <c r="B19" i="8"/>
  <c r="A19" i="8"/>
  <c r="C17" i="8"/>
  <c r="B17" i="8"/>
  <c r="A17" i="8"/>
  <c r="C16" i="8"/>
  <c r="B16" i="8"/>
  <c r="A16" i="8"/>
  <c r="C15" i="8"/>
  <c r="B15" i="8"/>
  <c r="A15" i="8"/>
  <c r="B25" i="13"/>
  <c r="A25" i="13"/>
  <c r="B24" i="13"/>
  <c r="A24" i="13"/>
  <c r="B23" i="13"/>
  <c r="A23" i="13"/>
  <c r="B21" i="13"/>
  <c r="A21" i="13"/>
  <c r="B20" i="13"/>
  <c r="A20" i="13"/>
  <c r="B19" i="13"/>
  <c r="A19" i="13"/>
  <c r="C22" i="27"/>
  <c r="B22" i="27"/>
  <c r="A22" i="27"/>
  <c r="C21" i="27"/>
  <c r="B21" i="27"/>
  <c r="A21" i="27"/>
  <c r="C20" i="27"/>
  <c r="B20" i="27"/>
  <c r="A20" i="27"/>
  <c r="C18" i="27"/>
  <c r="B18" i="27"/>
  <c r="A18" i="27"/>
  <c r="C17" i="27"/>
  <c r="B17" i="27"/>
  <c r="A17" i="27"/>
  <c r="C16" i="27"/>
  <c r="B16" i="27"/>
  <c r="A16" i="27"/>
  <c r="C22" i="17"/>
  <c r="B22" i="17"/>
  <c r="A22" i="17"/>
  <c r="C21" i="17"/>
  <c r="B21" i="17"/>
  <c r="A21" i="17"/>
  <c r="C20" i="17"/>
  <c r="B20" i="17"/>
  <c r="A20" i="17"/>
  <c r="C18" i="17"/>
  <c r="B18" i="17"/>
  <c r="A18" i="17"/>
  <c r="C17" i="17"/>
  <c r="B17" i="17"/>
  <c r="A17" i="17"/>
  <c r="C16" i="17"/>
  <c r="B16" i="17"/>
  <c r="A16" i="17"/>
  <c r="C24" i="14"/>
  <c r="B24" i="14"/>
  <c r="A24" i="14"/>
  <c r="C23" i="14"/>
  <c r="B23" i="14"/>
  <c r="A23" i="14"/>
  <c r="C22" i="14"/>
  <c r="B22" i="14"/>
  <c r="A22" i="14"/>
  <c r="C20" i="14"/>
  <c r="B20" i="14"/>
  <c r="A20" i="14"/>
  <c r="C19" i="14"/>
  <c r="B19" i="14"/>
  <c r="A19" i="14"/>
  <c r="C18" i="14"/>
  <c r="B18" i="14"/>
  <c r="A18" i="14"/>
  <c r="B26" i="11"/>
  <c r="A26" i="11"/>
  <c r="B25" i="11"/>
  <c r="A25" i="11"/>
  <c r="B24" i="11"/>
  <c r="A24" i="11"/>
  <c r="B22" i="11"/>
  <c r="A22" i="11"/>
  <c r="B21" i="11"/>
  <c r="A21" i="11"/>
  <c r="B20" i="11"/>
  <c r="A20" i="11"/>
  <c r="C28" i="29"/>
  <c r="B28" i="29"/>
  <c r="A28" i="29"/>
  <c r="C27" i="29"/>
  <c r="B27" i="29"/>
  <c r="A27" i="29"/>
  <c r="C26" i="29"/>
  <c r="B26" i="29"/>
  <c r="A26" i="29"/>
  <c r="C24" i="29"/>
  <c r="B24" i="29"/>
  <c r="A24" i="29"/>
  <c r="C23" i="29"/>
  <c r="B23" i="29"/>
  <c r="A23" i="29"/>
  <c r="C22" i="29"/>
  <c r="B22" i="29"/>
  <c r="A22" i="29"/>
  <c r="C46" i="29"/>
  <c r="B46" i="29"/>
  <c r="A46" i="29"/>
  <c r="C45" i="29"/>
  <c r="B45" i="29"/>
  <c r="A45" i="29"/>
  <c r="C44" i="29"/>
  <c r="B44" i="29"/>
  <c r="A44" i="29"/>
  <c r="C42" i="29"/>
  <c r="B42" i="29"/>
  <c r="A42" i="29"/>
  <c r="C41" i="29"/>
  <c r="B41" i="29"/>
  <c r="A41" i="29"/>
  <c r="C40" i="29"/>
  <c r="B40" i="29"/>
  <c r="A40" i="29"/>
  <c r="H23" i="5"/>
  <c r="H22" i="5"/>
  <c r="H21" i="5"/>
  <c r="H19" i="5"/>
  <c r="H18" i="5"/>
  <c r="H17" i="5"/>
  <c r="D21" i="8"/>
  <c r="D20" i="8"/>
  <c r="D19" i="8"/>
  <c r="D17" i="8"/>
  <c r="D16" i="8"/>
  <c r="D15" i="8"/>
  <c r="G64" i="10"/>
  <c r="K17" i="17"/>
  <c r="K16" i="17"/>
  <c r="B55" i="29"/>
  <c r="I27" i="27"/>
  <c r="G27" i="27"/>
  <c r="E27" i="27"/>
  <c r="I26" i="27"/>
  <c r="G26" i="27"/>
  <c r="E26" i="27"/>
  <c r="K22" i="27"/>
  <c r="D22" i="27"/>
  <c r="H22" i="27" s="1"/>
  <c r="K21" i="27"/>
  <c r="D21" i="27"/>
  <c r="J21" i="27" s="1"/>
  <c r="K20" i="27"/>
  <c r="D20" i="27"/>
  <c r="H20" i="27" s="1"/>
  <c r="K18" i="27"/>
  <c r="D18" i="27"/>
  <c r="F18" i="27" s="1"/>
  <c r="K17" i="27"/>
  <c r="D17" i="27"/>
  <c r="H17" i="27" s="1"/>
  <c r="K16" i="27"/>
  <c r="D16" i="27"/>
  <c r="J16" i="27" s="1"/>
  <c r="K22" i="17"/>
  <c r="K21" i="17"/>
  <c r="K20" i="17"/>
  <c r="K18" i="17"/>
  <c r="A24" i="24" l="1"/>
  <c r="A15" i="24"/>
  <c r="G26" i="20"/>
  <c r="G25" i="20"/>
  <c r="G22" i="20"/>
  <c r="J17" i="27"/>
  <c r="F22" i="27"/>
  <c r="J22" i="27"/>
  <c r="F17" i="27"/>
  <c r="H21" i="27"/>
  <c r="F20" i="27"/>
  <c r="J20" i="27"/>
  <c r="K27" i="27"/>
  <c r="D16" i="24" s="1"/>
  <c r="H18" i="27"/>
  <c r="K26" i="27"/>
  <c r="D15" i="24" s="1"/>
  <c r="F16" i="27"/>
  <c r="J18" i="27"/>
  <c r="F21" i="27"/>
  <c r="H16" i="27"/>
  <c r="K26" i="17"/>
  <c r="C15" i="24" s="1"/>
  <c r="K27" i="17"/>
  <c r="C16" i="24" s="1"/>
  <c r="J27" i="27" l="1"/>
  <c r="J26" i="27"/>
  <c r="F27" i="27"/>
  <c r="F26" i="27"/>
  <c r="H27" i="27"/>
  <c r="H26" i="27"/>
  <c r="I27" i="17" l="1"/>
  <c r="I26" i="17"/>
  <c r="H24" i="24" l="1"/>
  <c r="D58" i="10"/>
  <c r="G31" i="10" l="1"/>
  <c r="D25" i="10"/>
  <c r="G21" i="20" l="1"/>
  <c r="H27" i="19"/>
  <c r="G27" i="19"/>
  <c r="H26" i="19"/>
  <c r="G26" i="19"/>
  <c r="D17" i="19"/>
  <c r="G27" i="17"/>
  <c r="G26" i="17"/>
  <c r="D22" i="17"/>
  <c r="J22" i="17" s="1"/>
  <c r="D21" i="17"/>
  <c r="J21" i="17" s="1"/>
  <c r="D20" i="17"/>
  <c r="J20" i="17" s="1"/>
  <c r="D18" i="17"/>
  <c r="J18" i="17" s="1"/>
  <c r="D17" i="17"/>
  <c r="J17" i="17" s="1"/>
  <c r="D16" i="17"/>
  <c r="J16" i="17" s="1"/>
  <c r="E27" i="17"/>
  <c r="E26" i="17"/>
  <c r="I28" i="14"/>
  <c r="I27" i="14"/>
  <c r="I26" i="8"/>
  <c r="I25" i="8"/>
  <c r="F26" i="11"/>
  <c r="H26" i="11" s="1"/>
  <c r="F25" i="11"/>
  <c r="H25" i="11" s="1"/>
  <c r="F24" i="11"/>
  <c r="H24" i="11" s="1"/>
  <c r="H22" i="11"/>
  <c r="F21" i="11"/>
  <c r="H21" i="11" s="1"/>
  <c r="F20" i="11"/>
  <c r="H20" i="11" s="1"/>
  <c r="E21" i="8"/>
  <c r="E20" i="8"/>
  <c r="E19" i="8"/>
  <c r="E17" i="8"/>
  <c r="E16" i="8"/>
  <c r="E15" i="8"/>
  <c r="C23" i="5"/>
  <c r="I23" i="5" s="1"/>
  <c r="L23" i="5" s="1"/>
  <c r="C22" i="5"/>
  <c r="I22" i="5" s="1"/>
  <c r="L22" i="5" s="1"/>
  <c r="C21" i="5"/>
  <c r="I21" i="5" s="1"/>
  <c r="L21" i="5" s="1"/>
  <c r="C19" i="5"/>
  <c r="I19" i="5" s="1"/>
  <c r="L19" i="5" s="1"/>
  <c r="C18" i="5"/>
  <c r="I18" i="5" s="1"/>
  <c r="L18" i="5" s="1"/>
  <c r="C17" i="5"/>
  <c r="I17" i="5" s="1"/>
  <c r="L17" i="5" s="1"/>
  <c r="J33" i="12"/>
  <c r="D23" i="10" s="1"/>
  <c r="I33" i="12"/>
  <c r="H28" i="14"/>
  <c r="H27" i="14"/>
  <c r="J25" i="13"/>
  <c r="J24" i="13"/>
  <c r="J23" i="13"/>
  <c r="J21" i="13"/>
  <c r="J20" i="13"/>
  <c r="J19" i="13"/>
  <c r="H25" i="13"/>
  <c r="I25" i="13" s="1"/>
  <c r="H24" i="13"/>
  <c r="I24" i="13" s="1"/>
  <c r="H23" i="13"/>
  <c r="I23" i="13" s="1"/>
  <c r="H21" i="13"/>
  <c r="I21" i="13" s="1"/>
  <c r="H20" i="13"/>
  <c r="H19" i="13"/>
  <c r="I19" i="13" s="1"/>
  <c r="K27" i="12"/>
  <c r="E27" i="12"/>
  <c r="K26" i="12"/>
  <c r="E26" i="12"/>
  <c r="D22" i="12"/>
  <c r="J22" i="12" s="1"/>
  <c r="D21" i="12"/>
  <c r="D20" i="12"/>
  <c r="F20" i="12" s="1"/>
  <c r="G20" i="12" s="1"/>
  <c r="D18" i="12"/>
  <c r="F18" i="12" s="1"/>
  <c r="G18" i="12" s="1"/>
  <c r="D17" i="12"/>
  <c r="J17" i="12" s="1"/>
  <c r="D16" i="12"/>
  <c r="J16" i="12" s="1"/>
  <c r="J30" i="13" l="1"/>
  <c r="J32" i="13" s="1"/>
  <c r="I30" i="13"/>
  <c r="J27" i="17"/>
  <c r="J26" i="17"/>
  <c r="J29" i="13"/>
  <c r="I29" i="13"/>
  <c r="J18" i="12"/>
  <c r="L22" i="12"/>
  <c r="M22" i="12" s="1"/>
  <c r="L16" i="12"/>
  <c r="H17" i="17"/>
  <c r="F17" i="17"/>
  <c r="H20" i="17"/>
  <c r="F20" i="17"/>
  <c r="H22" i="17"/>
  <c r="F22" i="17"/>
  <c r="H18" i="17"/>
  <c r="F18" i="17"/>
  <c r="H16" i="17"/>
  <c r="D21" i="20" s="1"/>
  <c r="H21" i="20" s="1"/>
  <c r="F16" i="17"/>
  <c r="H21" i="17"/>
  <c r="F21" i="17"/>
  <c r="J20" i="12"/>
  <c r="L17" i="12"/>
  <c r="M17" i="12" s="1"/>
  <c r="J21" i="12"/>
  <c r="F16" i="12"/>
  <c r="G16" i="12" s="1"/>
  <c r="F21" i="12"/>
  <c r="G21" i="12" s="1"/>
  <c r="F22" i="12"/>
  <c r="G22" i="12" s="1"/>
  <c r="F17" i="12"/>
  <c r="G17" i="12" s="1"/>
  <c r="F19" i="19" l="1"/>
  <c r="D23" i="20"/>
  <c r="F21" i="19"/>
  <c r="I21" i="19" s="1"/>
  <c r="D25" i="20"/>
  <c r="H25" i="20" s="1"/>
  <c r="F22" i="19"/>
  <c r="J22" i="19" s="1"/>
  <c r="D26" i="20"/>
  <c r="H26" i="20" s="1"/>
  <c r="F23" i="19"/>
  <c r="D27" i="20"/>
  <c r="F18" i="19"/>
  <c r="J18" i="19" s="1"/>
  <c r="D22" i="20"/>
  <c r="H22" i="20" s="1"/>
  <c r="L18" i="12"/>
  <c r="M18" i="12" s="1"/>
  <c r="F26" i="17"/>
  <c r="F27" i="17"/>
  <c r="L21" i="12"/>
  <c r="M21" i="12" s="1"/>
  <c r="L20" i="12"/>
  <c r="M20" i="12" s="1"/>
  <c r="F17" i="19"/>
  <c r="H26" i="17"/>
  <c r="H27" i="17"/>
  <c r="G26" i="12"/>
  <c r="F27" i="12"/>
  <c r="F26" i="12"/>
  <c r="M16" i="12"/>
  <c r="G27" i="12"/>
  <c r="J21" i="19" l="1"/>
  <c r="H31" i="20"/>
  <c r="I22" i="19"/>
  <c r="I23" i="19"/>
  <c r="I18" i="19"/>
  <c r="H30" i="20"/>
  <c r="L27" i="12"/>
  <c r="L26" i="12"/>
  <c r="J27" i="19"/>
  <c r="F27" i="19"/>
  <c r="F26" i="19"/>
  <c r="I17" i="19"/>
  <c r="M27" i="12"/>
  <c r="M26" i="12"/>
  <c r="J26" i="19" l="1"/>
  <c r="I27" i="19"/>
  <c r="I26" i="19"/>
  <c r="J28" i="5"/>
  <c r="J27" i="5"/>
  <c r="J26" i="11"/>
  <c r="J25" i="11"/>
  <c r="J24" i="11"/>
  <c r="J22" i="11"/>
  <c r="J21" i="11"/>
  <c r="J20" i="11"/>
  <c r="I26" i="11"/>
  <c r="I25" i="11"/>
  <c r="I24" i="11"/>
  <c r="I22" i="11"/>
  <c r="I21" i="11"/>
  <c r="I20" i="11"/>
  <c r="D56" i="10"/>
  <c r="F56" i="10" s="1"/>
  <c r="C58" i="10"/>
  <c r="C56" i="10"/>
  <c r="F58" i="10"/>
  <c r="F25" i="10"/>
  <c r="C25" i="10"/>
  <c r="F23" i="10"/>
  <c r="C23" i="10"/>
  <c r="K22" i="11" l="1"/>
  <c r="L22" i="11" s="1"/>
  <c r="K21" i="11"/>
  <c r="L21" i="11" s="1"/>
  <c r="K20" i="11"/>
  <c r="L20" i="11" s="1"/>
  <c r="K26" i="11"/>
  <c r="L26" i="11" s="1"/>
  <c r="K25" i="11"/>
  <c r="L25" i="11" s="1"/>
  <c r="K24" i="11"/>
  <c r="L24" i="11" s="1"/>
  <c r="G25" i="10"/>
  <c r="C27" i="10"/>
  <c r="C60" i="10"/>
  <c r="G23" i="10"/>
  <c r="G56" i="10"/>
  <c r="G58" i="10"/>
  <c r="E46" i="29"/>
  <c r="E45" i="29"/>
  <c r="E44" i="29"/>
  <c r="E42" i="29"/>
  <c r="E41" i="29"/>
  <c r="D42" i="29" l="1"/>
  <c r="D46" i="29"/>
  <c r="D40" i="29"/>
  <c r="D44" i="29"/>
  <c r="D41" i="29"/>
  <c r="D45" i="29"/>
  <c r="L30" i="11"/>
  <c r="L31" i="11"/>
  <c r="G27" i="10"/>
  <c r="G60" i="10"/>
  <c r="M18" i="5"/>
  <c r="M19" i="5"/>
  <c r="M21" i="5"/>
  <c r="M22" i="5"/>
  <c r="M23" i="5"/>
  <c r="F45" i="29" l="1"/>
  <c r="F44" i="29"/>
  <c r="F46" i="29"/>
  <c r="F41" i="29"/>
  <c r="F40" i="29"/>
  <c r="F42" i="29"/>
  <c r="M17" i="5"/>
  <c r="L27" i="5"/>
  <c r="L28" i="5"/>
  <c r="F47" i="29" l="1"/>
  <c r="D55" i="29" s="1"/>
  <c r="M28" i="5"/>
  <c r="M27" i="5"/>
  <c r="E43" i="3"/>
  <c r="E17" i="5" l="1"/>
  <c r="E40" i="3" l="1"/>
  <c r="A44" i="3" l="1"/>
  <c r="A43" i="3"/>
  <c r="A42" i="3"/>
  <c r="A40" i="3"/>
  <c r="A39" i="3"/>
  <c r="D44" i="3"/>
  <c r="D43" i="3"/>
  <c r="I43" i="3" s="1"/>
  <c r="K43" i="3" s="1"/>
  <c r="D42" i="3"/>
  <c r="D40" i="3"/>
  <c r="I40" i="3" s="1"/>
  <c r="K40" i="3" s="1"/>
  <c r="D39" i="3"/>
  <c r="D28" i="29" l="1"/>
  <c r="F28" i="29" s="1"/>
  <c r="E23" i="19"/>
  <c r="D24" i="29"/>
  <c r="F24" i="29" s="1"/>
  <c r="E19" i="19"/>
  <c r="D26" i="29"/>
  <c r="F26" i="29" s="1"/>
  <c r="E21" i="19"/>
  <c r="D27" i="29"/>
  <c r="F27" i="29" s="1"/>
  <c r="E22" i="19"/>
  <c r="D23" i="29"/>
  <c r="F23" i="29" s="1"/>
  <c r="E18" i="19"/>
  <c r="C23" i="7" l="1"/>
  <c r="C54" i="29" s="1"/>
  <c r="C25" i="7"/>
  <c r="C55" i="29" s="1"/>
  <c r="E55" i="29" s="1"/>
  <c r="D25" i="7" l="1"/>
  <c r="J25" i="8" l="1"/>
  <c r="J26" i="8" l="1"/>
  <c r="E42" i="3" l="1"/>
  <c r="D38" i="3"/>
  <c r="D22" i="29" l="1"/>
  <c r="F22" i="29" s="1"/>
  <c r="F29" i="29" s="1"/>
  <c r="D54" i="29" s="1"/>
  <c r="E54" i="29" s="1"/>
  <c r="E56" i="29" s="1"/>
  <c r="I42" i="3"/>
  <c r="K42" i="3" s="1"/>
  <c r="I44" i="3"/>
  <c r="K44" i="3" s="1"/>
  <c r="E17" i="19"/>
  <c r="J43" i="3"/>
  <c r="J44" i="3" l="1"/>
  <c r="J42" i="3"/>
  <c r="D28" i="5" l="1"/>
  <c r="D27" i="5"/>
  <c r="E39" i="3" l="1"/>
  <c r="E38" i="3"/>
  <c r="I38" i="3" s="1"/>
  <c r="K38" i="3" s="1"/>
  <c r="I39" i="3" l="1"/>
  <c r="J39" i="3" s="1"/>
  <c r="J40" i="3"/>
  <c r="K39" i="3" l="1"/>
  <c r="J38" i="3"/>
  <c r="J47" i="3" s="1"/>
  <c r="K48" i="3"/>
  <c r="B44" i="3" l="1"/>
  <c r="B43" i="3"/>
  <c r="B42" i="3"/>
  <c r="B40" i="3"/>
  <c r="B39" i="3"/>
  <c r="C44" i="3"/>
  <c r="C43" i="3"/>
  <c r="C42" i="3"/>
  <c r="C40" i="3"/>
  <c r="C39" i="3"/>
  <c r="C38" i="3"/>
  <c r="B38" i="3" l="1"/>
  <c r="A38" i="3"/>
  <c r="E23" i="5"/>
  <c r="F23" i="5" s="1"/>
  <c r="E22" i="5"/>
  <c r="F22" i="5" s="1"/>
  <c r="E21" i="5"/>
  <c r="F21" i="5" s="1"/>
  <c r="E19" i="5"/>
  <c r="F19" i="5" s="1"/>
  <c r="E18" i="5"/>
  <c r="F18" i="5" s="1"/>
  <c r="E27" i="5" l="1"/>
  <c r="K47" i="3"/>
  <c r="E28" i="5"/>
  <c r="J48" i="3"/>
  <c r="F17" i="5"/>
  <c r="F27" i="5" s="1"/>
  <c r="F23" i="7" l="1"/>
  <c r="G23" i="7" s="1"/>
  <c r="F28" i="5"/>
  <c r="C27" i="7"/>
  <c r="F25" i="7"/>
  <c r="G25" i="7" s="1"/>
  <c r="G27"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rev4440</author>
    <author>rev4287</author>
    <author>rev3569</author>
    <author>Baker, Mike A (DOR)</author>
    <author>rev3857</author>
    <author>rev4175</author>
  </authors>
  <commentList>
    <comment ref="H22" authorId="0" shapeId="0" xr:uid="{ADE646AE-161D-49EC-96BA-B8A6C936E499}">
      <text>
        <r>
          <rPr>
            <sz val="9"/>
            <color indexed="81"/>
            <rFont val="Tahoma"/>
            <family val="2"/>
          </rPr>
          <t>Page 130 of PDF, 10-K</t>
        </r>
      </text>
    </comment>
    <comment ref="I22" authorId="0" shapeId="0" xr:uid="{4C0AE4D0-BBF2-4B17-9A03-83DB38CD9133}">
      <text>
        <r>
          <rPr>
            <sz val="9"/>
            <color indexed="81"/>
            <rFont val="Tahoma"/>
            <family val="2"/>
          </rPr>
          <t>Page 130 of PDF, 10-K</t>
        </r>
      </text>
    </comment>
    <comment ref="J22" authorId="0" shapeId="0" xr:uid="{5AC828B6-3240-4E35-B712-185D501EAF46}">
      <text>
        <r>
          <rPr>
            <sz val="9"/>
            <color indexed="81"/>
            <rFont val="Tahoma"/>
            <family val="2"/>
          </rPr>
          <t>Page 130 of PDF, 10-K  includes recourse and nonrecourse debt</t>
        </r>
      </text>
    </comment>
    <comment ref="H23" authorId="0" shapeId="0" xr:uid="{7B1E1587-8D51-4B43-A46D-765997D3B799}">
      <text>
        <r>
          <rPr>
            <sz val="9"/>
            <color indexed="81"/>
            <rFont val="Tahoma"/>
            <family val="2"/>
          </rPr>
          <t>Page 92 of PDF, 10-K</t>
        </r>
      </text>
    </comment>
    <comment ref="I23" authorId="0" shapeId="0" xr:uid="{E01B435B-AD2B-409C-9028-F586E30826AE}">
      <text>
        <r>
          <rPr>
            <sz val="9"/>
            <color indexed="81"/>
            <rFont val="Tahoma"/>
            <family val="2"/>
          </rPr>
          <t>Page 92 of PDF, 10-K</t>
        </r>
      </text>
    </comment>
    <comment ref="J23" authorId="0" shapeId="0" xr:uid="{69227CD1-4402-4F68-8D56-A74D02905C9E}">
      <text>
        <r>
          <rPr>
            <sz val="9"/>
            <color indexed="81"/>
            <rFont val="Tahoma"/>
            <family val="2"/>
          </rPr>
          <t>Page 92   of PDF, 10-K</t>
        </r>
      </text>
    </comment>
    <comment ref="H24" authorId="0" shapeId="0" xr:uid="{6F1271AD-3089-49BF-A3FB-82B5F6ED1DB9}">
      <text>
        <r>
          <rPr>
            <sz val="9"/>
            <color indexed="81"/>
            <rFont val="Tahoma"/>
            <family val="2"/>
          </rPr>
          <t>Page 128 
 of PDF, 10-K</t>
        </r>
      </text>
    </comment>
    <comment ref="I24" authorId="0" shapeId="0" xr:uid="{B0590042-EC74-4843-8847-0FB25DDC793D}">
      <text>
        <r>
          <rPr>
            <sz val="9"/>
            <color indexed="81"/>
            <rFont val="Tahoma"/>
            <family val="2"/>
          </rPr>
          <t>Page 128 
 of PDF, 10-K</t>
        </r>
      </text>
    </comment>
    <comment ref="J24" authorId="0" shapeId="0" xr:uid="{1BC11F8A-38DD-45DE-BBEB-9EABAD6804CB}">
      <text>
        <r>
          <rPr>
            <sz val="9"/>
            <color indexed="81"/>
            <rFont val="Tahoma"/>
            <family val="2"/>
          </rPr>
          <t>Page 128 
 of PDF, 10-K  Add LT Financing trusts</t>
        </r>
      </text>
    </comment>
    <comment ref="H25" authorId="1" shapeId="0" xr:uid="{562527BF-679C-477A-BABC-6BB60174E19E}">
      <text>
        <r>
          <rPr>
            <b/>
            <sz val="9"/>
            <color indexed="81"/>
            <rFont val="Tahoma"/>
            <family val="2"/>
          </rPr>
          <t>rev4287:</t>
        </r>
        <r>
          <rPr>
            <sz val="9"/>
            <color indexed="81"/>
            <rFont val="Tahoma"/>
            <family val="2"/>
          </rPr>
          <t xml:space="preserve">
Page 64 of 10-K  As of Jan 31, 2023 the shares were 1,987,495,306</t>
        </r>
      </text>
    </comment>
    <comment ref="J25" authorId="2" shapeId="0" xr:uid="{C1A4BD45-D297-44D8-8D2B-75514A352A9E}">
      <text>
        <r>
          <rPr>
            <b/>
            <sz val="9"/>
            <color indexed="81"/>
            <rFont val="Tahoma"/>
            <family val="2"/>
          </rPr>
          <t>rev3569:</t>
        </r>
        <r>
          <rPr>
            <sz val="9"/>
            <color indexed="81"/>
            <rFont val="Tahoma"/>
            <family val="2"/>
          </rPr>
          <t xml:space="preserve">
10K pg62</t>
        </r>
      </text>
    </comment>
    <comment ref="H26" authorId="0" shapeId="0" xr:uid="{28218EBB-52A4-42DD-A901-8CF82F134ACB}">
      <text>
        <r>
          <rPr>
            <sz val="9"/>
            <color indexed="81"/>
            <rFont val="Tahoma"/>
            <family val="2"/>
          </rPr>
          <t>Page 86 of PDF, 10-K</t>
        </r>
      </text>
    </comment>
    <comment ref="I26" authorId="0" shapeId="0" xr:uid="{430B30E6-ECC6-492D-AD11-DC3828673B8C}">
      <text>
        <r>
          <rPr>
            <sz val="9"/>
            <color indexed="81"/>
            <rFont val="Tahoma"/>
            <family val="2"/>
          </rPr>
          <t>Page 86 of PDF, 10-K</t>
        </r>
      </text>
    </comment>
    <comment ref="J26" authorId="0" shapeId="0" xr:uid="{E74E7508-DF40-4F6B-B021-F04FD09C0135}">
      <text>
        <r>
          <rPr>
            <sz val="9"/>
            <color indexed="81"/>
            <rFont val="Tahoma"/>
            <family val="2"/>
          </rPr>
          <t>Page 86 of PDF, 10-K</t>
        </r>
      </text>
    </comment>
    <comment ref="H27" authorId="0" shapeId="0" xr:uid="{76CCD29D-1AEB-444D-BC18-F40E2C200FB9}">
      <text>
        <r>
          <rPr>
            <sz val="9"/>
            <color indexed="81"/>
            <rFont val="Tahoma"/>
            <family val="2"/>
          </rPr>
          <t>Page 128 - II-81 of PDF, 10-K</t>
        </r>
      </text>
    </comment>
    <comment ref="I27" authorId="0" shapeId="0" xr:uid="{00B46182-8ECA-4028-8A1D-D0425009F306}">
      <text>
        <r>
          <rPr>
            <sz val="9"/>
            <color indexed="81"/>
            <rFont val="Tahoma"/>
            <family val="2"/>
          </rPr>
          <t>Page 127 of PDF, 10-K</t>
        </r>
      </text>
    </comment>
    <comment ref="J27" authorId="0" shapeId="0" xr:uid="{932993FF-90B1-415F-ABB5-BD8374BB8A8F}">
      <text>
        <r>
          <rPr>
            <sz val="9"/>
            <color indexed="81"/>
            <rFont val="Tahoma"/>
            <family val="2"/>
          </rPr>
          <t xml:space="preserve">Page 228 of PDF, 10-K  
</t>
        </r>
      </text>
    </comment>
    <comment ref="H28" authorId="0" shapeId="0" xr:uid="{24621981-85EE-46DE-BCAE-ECD0D45D00A6}">
      <text>
        <r>
          <rPr>
            <sz val="9"/>
            <color indexed="81"/>
            <rFont val="Tahoma"/>
            <family val="2"/>
          </rPr>
          <t>Page 97 of PDF, 10-K</t>
        </r>
      </text>
    </comment>
    <comment ref="I28" authorId="3" shapeId="0" xr:uid="{8E6E65DA-E54A-4452-B764-2F99819B0979}">
      <text>
        <r>
          <rPr>
            <b/>
            <sz val="9"/>
            <color indexed="81"/>
            <rFont val="Tahoma"/>
            <family val="2"/>
          </rPr>
          <t>Baker, Mike A (DOR):</t>
        </r>
        <r>
          <rPr>
            <sz val="9"/>
            <color indexed="81"/>
            <rFont val="Tahoma"/>
            <family val="2"/>
          </rPr>
          <t xml:space="preserve">
See 10K page 97</t>
        </r>
      </text>
    </comment>
    <comment ref="J28" authorId="3" shapeId="0" xr:uid="{19BB77F4-E4A2-44A4-955F-E8810D09B8C9}">
      <text>
        <r>
          <rPr>
            <b/>
            <sz val="11"/>
            <color indexed="81"/>
            <rFont val="Tahoma"/>
            <family val="2"/>
          </rPr>
          <t>Baker, Mike A (DOR):</t>
        </r>
        <r>
          <rPr>
            <sz val="11"/>
            <color indexed="81"/>
            <rFont val="Tahoma"/>
            <family val="2"/>
          </rPr>
          <t xml:space="preserve">
See 10K page 96  
</t>
        </r>
      </text>
    </comment>
    <comment ref="F34" authorId="2" shapeId="0" xr:uid="{CEF678F7-6580-4CF3-AC8E-A803AFF27478}">
      <text>
        <r>
          <rPr>
            <b/>
            <sz val="11"/>
            <color indexed="81"/>
            <rFont val="Tahoma"/>
            <family val="2"/>
          </rPr>
          <t>rev3569:</t>
        </r>
        <r>
          <rPr>
            <sz val="11"/>
            <color indexed="81"/>
            <rFont val="Tahoma"/>
            <family val="2"/>
          </rPr>
          <t xml:space="preserve">
identify present value in 10K</t>
        </r>
      </text>
    </comment>
    <comment ref="G34" authorId="2" shapeId="0" xr:uid="{83A88F76-25A8-49A4-A435-A96383B012AB}">
      <text>
        <r>
          <rPr>
            <b/>
            <sz val="11"/>
            <color indexed="81"/>
            <rFont val="Tahoma"/>
            <family val="2"/>
          </rPr>
          <t>rev3569:</t>
        </r>
        <r>
          <rPr>
            <sz val="11"/>
            <color indexed="81"/>
            <rFont val="Tahoma"/>
            <family val="2"/>
          </rPr>
          <t xml:space="preserve">
identify present value in 10K</t>
        </r>
      </text>
    </comment>
    <comment ref="F38" authorId="3" shapeId="0" xr:uid="{93AEFF50-0924-4DA6-AD63-457D27DFF07D}">
      <text>
        <r>
          <rPr>
            <b/>
            <sz val="9"/>
            <color indexed="81"/>
            <rFont val="Tahoma"/>
            <family val="2"/>
          </rPr>
          <t>Baker, Mike A (DOR):</t>
        </r>
        <r>
          <rPr>
            <sz val="9"/>
            <color indexed="81"/>
            <rFont val="Tahoma"/>
            <family val="2"/>
          </rPr>
          <t xml:space="preserve">
See 10K page 166/170</t>
        </r>
      </text>
    </comment>
    <comment ref="G38" authorId="3" shapeId="0" xr:uid="{D2EE5EBA-1756-44C1-B69F-654090DCFE88}">
      <text>
        <r>
          <rPr>
            <b/>
            <sz val="9"/>
            <color indexed="81"/>
            <rFont val="Tahoma"/>
            <family val="2"/>
          </rPr>
          <t>Baker, Mike A (DOR):</t>
        </r>
        <r>
          <rPr>
            <sz val="9"/>
            <color indexed="81"/>
            <rFont val="Tahoma"/>
            <family val="2"/>
          </rPr>
          <t xml:space="preserve">
See page 170-166</t>
        </r>
      </text>
    </comment>
    <comment ref="H38" authorId="4" shapeId="0" xr:uid="{00000000-0006-0000-0200-000029000000}">
      <text>
        <r>
          <rPr>
            <sz val="9"/>
            <color indexed="81"/>
            <rFont val="Tahoma"/>
            <family val="2"/>
          </rPr>
          <t>Page 155 of PDF, 10-K</t>
        </r>
      </text>
    </comment>
    <comment ref="F39" authorId="5" shapeId="0" xr:uid="{C9D09AA0-D44E-47FF-923C-FA221C3F3F5E}">
      <text>
        <r>
          <rPr>
            <b/>
            <sz val="9"/>
            <color indexed="81"/>
            <rFont val="Tahoma"/>
            <family val="2"/>
          </rPr>
          <t>rev4175:</t>
        </r>
        <r>
          <rPr>
            <sz val="9"/>
            <color indexed="81"/>
            <rFont val="Tahoma"/>
            <family val="2"/>
          </rPr>
          <t xml:space="preserve">
10K page 157 of pdf</t>
        </r>
      </text>
    </comment>
    <comment ref="G39" authorId="3" shapeId="0" xr:uid="{A6EBC5F6-2835-4A2F-BF8A-E386FE6C7DBE}">
      <text>
        <r>
          <rPr>
            <b/>
            <sz val="9"/>
            <color indexed="81"/>
            <rFont val="Tahoma"/>
            <family val="2"/>
          </rPr>
          <t>Baker, Mike A (DOR):</t>
        </r>
        <r>
          <rPr>
            <sz val="9"/>
            <color indexed="81"/>
            <rFont val="Tahoma"/>
            <family val="2"/>
          </rPr>
          <t xml:space="preserve">
See page 157 10K
</t>
        </r>
      </text>
    </comment>
    <comment ref="H39" authorId="5" shapeId="0" xr:uid="{6485DE54-54BC-4E8D-AFDA-1B8D21194582}">
      <text>
        <r>
          <rPr>
            <b/>
            <sz val="9"/>
            <color indexed="81"/>
            <rFont val="Tahoma"/>
            <family val="2"/>
          </rPr>
          <t>rev4175:</t>
        </r>
        <r>
          <rPr>
            <sz val="9"/>
            <color indexed="81"/>
            <rFont val="Tahoma"/>
            <family val="2"/>
          </rPr>
          <t xml:space="preserve">
10K page 127 of pdf</t>
        </r>
      </text>
    </comment>
    <comment ref="F40" authorId="5" shapeId="0" xr:uid="{D23713E6-5BA8-43D4-B9DE-0D2877B5BF7D}">
      <text>
        <r>
          <rPr>
            <b/>
            <sz val="9"/>
            <color indexed="81"/>
            <rFont val="Tahoma"/>
            <family val="2"/>
          </rPr>
          <t>rev4175:</t>
        </r>
        <r>
          <rPr>
            <sz val="9"/>
            <color indexed="81"/>
            <rFont val="Tahoma"/>
            <family val="2"/>
          </rPr>
          <t xml:space="preserve">
10K page 213 of pdf</t>
        </r>
      </text>
    </comment>
    <comment ref="G40" authorId="3" shapeId="0" xr:uid="{013305A4-935A-48D0-89CD-68B63C0D908A}">
      <text>
        <r>
          <rPr>
            <b/>
            <sz val="9"/>
            <color indexed="81"/>
            <rFont val="Tahoma"/>
            <family val="2"/>
          </rPr>
          <t>Baker, Mike A (DOR):</t>
        </r>
        <r>
          <rPr>
            <sz val="9"/>
            <color indexed="81"/>
            <rFont val="Tahoma"/>
            <family val="2"/>
          </rPr>
          <t xml:space="preserve">
Page 213 of 10K</t>
        </r>
      </text>
    </comment>
    <comment ref="H40" authorId="5" shapeId="0" xr:uid="{E14B97F2-B381-44DF-9C33-6446046695BA}">
      <text>
        <r>
          <rPr>
            <b/>
            <sz val="9"/>
            <color indexed="81"/>
            <rFont val="Tahoma"/>
            <family val="2"/>
          </rPr>
          <t>rev4175:</t>
        </r>
        <r>
          <rPr>
            <sz val="9"/>
            <color indexed="81"/>
            <rFont val="Tahoma"/>
            <family val="2"/>
          </rPr>
          <t xml:space="preserve">
10K page 242-248 of pdf</t>
        </r>
      </text>
    </comment>
    <comment ref="F41" authorId="5" shapeId="0" xr:uid="{6A27D346-6769-47E8-8A1B-B782E8FE1970}">
      <text>
        <r>
          <rPr>
            <b/>
            <sz val="9"/>
            <color indexed="81"/>
            <rFont val="Tahoma"/>
            <family val="2"/>
          </rPr>
          <t>rev4175:</t>
        </r>
        <r>
          <rPr>
            <sz val="9"/>
            <color indexed="81"/>
            <rFont val="Tahoma"/>
            <family val="2"/>
          </rPr>
          <t xml:space="preserve">
10K page 97</t>
        </r>
      </text>
    </comment>
    <comment ref="H41" authorId="5" shapeId="0" xr:uid="{CC282614-C61C-4A4C-B936-CF06EEBD8CB8}">
      <text>
        <r>
          <rPr>
            <b/>
            <sz val="9"/>
            <color indexed="81"/>
            <rFont val="Tahoma"/>
            <family val="2"/>
          </rPr>
          <t>rev4175:</t>
        </r>
        <r>
          <rPr>
            <sz val="9"/>
            <color indexed="81"/>
            <rFont val="Tahoma"/>
            <family val="2"/>
          </rPr>
          <t xml:space="preserve">
10K page 90
</t>
        </r>
      </text>
    </comment>
    <comment ref="F42" authorId="5" shapeId="0" xr:uid="{B4B5C986-44C9-4DAE-AC7B-63F9843CB021}">
      <text>
        <r>
          <rPr>
            <b/>
            <sz val="9"/>
            <color indexed="81"/>
            <rFont val="Tahoma"/>
            <family val="2"/>
          </rPr>
          <t>rev4175:</t>
        </r>
        <r>
          <rPr>
            <sz val="9"/>
            <color indexed="81"/>
            <rFont val="Tahoma"/>
            <family val="2"/>
          </rPr>
          <t xml:space="preserve">
10K page 115 of pdf</t>
        </r>
      </text>
    </comment>
    <comment ref="G42" authorId="3" shapeId="0" xr:uid="{A0303192-08DA-4439-AC9A-644EE51530F5}">
      <text>
        <r>
          <rPr>
            <b/>
            <sz val="9"/>
            <color indexed="81"/>
            <rFont val="Tahoma"/>
            <family val="2"/>
          </rPr>
          <t>Baker, Mike A (DOR):</t>
        </r>
        <r>
          <rPr>
            <sz val="9"/>
            <color indexed="81"/>
            <rFont val="Tahoma"/>
            <family val="2"/>
          </rPr>
          <t xml:space="preserve">
Finance leases included in LT Debt
</t>
        </r>
      </text>
    </comment>
    <comment ref="H42" authorId="5" shapeId="0" xr:uid="{E37CFE91-64DC-4F74-B2DA-EF2D265D662D}">
      <text>
        <r>
          <rPr>
            <b/>
            <sz val="9"/>
            <color indexed="81"/>
            <rFont val="Tahoma"/>
            <family val="2"/>
          </rPr>
          <t>rev4175:</t>
        </r>
        <r>
          <rPr>
            <sz val="9"/>
            <color indexed="81"/>
            <rFont val="Tahoma"/>
            <family val="2"/>
          </rPr>
          <t xml:space="preserve">
10K page 115 of pdf also see page 74</t>
        </r>
      </text>
    </comment>
    <comment ref="F43" authorId="3" shapeId="0" xr:uid="{529636D5-BB21-4D37-87FC-4065CF2772B4}">
      <text>
        <r>
          <rPr>
            <b/>
            <sz val="9"/>
            <color indexed="81"/>
            <rFont val="Tahoma"/>
            <family val="2"/>
          </rPr>
          <t>Baker, Mike A (DOR):</t>
        </r>
        <r>
          <rPr>
            <sz val="9"/>
            <color indexed="81"/>
            <rFont val="Tahoma"/>
            <family val="2"/>
          </rPr>
          <t xml:space="preserve">
page 240  II-192 of 10K</t>
        </r>
      </text>
    </comment>
    <comment ref="G43" authorId="3" shapeId="0" xr:uid="{9DBA787E-4AE0-4280-905A-BA0EE038A277}">
      <text>
        <r>
          <rPr>
            <b/>
            <sz val="9"/>
            <color indexed="81"/>
            <rFont val="Tahoma"/>
            <family val="2"/>
          </rPr>
          <t>Baker, Mike A (DOR):</t>
        </r>
        <r>
          <rPr>
            <sz val="9"/>
            <color indexed="81"/>
            <rFont val="Tahoma"/>
            <family val="2"/>
          </rPr>
          <t xml:space="preserve">
page 240  II-192 of 10K</t>
        </r>
      </text>
    </comment>
    <comment ref="F44" authorId="3" shapeId="0" xr:uid="{DB53E82E-54BE-4FCC-A8A8-C9D6A388FA5F}">
      <text>
        <r>
          <rPr>
            <b/>
            <sz val="9"/>
            <color indexed="81"/>
            <rFont val="Tahoma"/>
            <family val="2"/>
          </rPr>
          <t>Baker, Mike A (DOR):</t>
        </r>
        <r>
          <rPr>
            <sz val="9"/>
            <color indexed="81"/>
            <rFont val="Tahoma"/>
            <family val="2"/>
          </rPr>
          <t xml:space="preserve">
See 10K page 130</t>
        </r>
      </text>
    </comment>
    <comment ref="G44" authorId="3" shapeId="0" xr:uid="{75995A93-A93D-427B-A493-C322C6378D81}">
      <text>
        <r>
          <rPr>
            <b/>
            <sz val="9"/>
            <color indexed="81"/>
            <rFont val="Tahoma"/>
            <family val="2"/>
          </rPr>
          <t>Baker, Mike A (DOR):</t>
        </r>
        <r>
          <rPr>
            <sz val="9"/>
            <color indexed="81"/>
            <rFont val="Tahoma"/>
            <family val="2"/>
          </rPr>
          <t xml:space="preserve">
See 10K page 130</t>
        </r>
      </text>
    </comment>
    <comment ref="H44" authorId="3" shapeId="0" xr:uid="{76FE9B2A-BACC-4BC2-A231-E78153BEA4DC}">
      <text>
        <r>
          <rPr>
            <b/>
            <sz val="9"/>
            <color indexed="81"/>
            <rFont val="Tahoma"/>
            <family val="2"/>
          </rPr>
          <t>Baker, Mike A (DOR):</t>
        </r>
        <r>
          <rPr>
            <sz val="9"/>
            <color indexed="81"/>
            <rFont val="Tahoma"/>
            <family val="2"/>
          </rPr>
          <t xml:space="preserve">
See 10K page 165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Baker, Mike A (DOR)</author>
  </authors>
  <commentList>
    <comment ref="E22" authorId="0" shapeId="0" xr:uid="{4FEA1386-2744-4761-93C5-D8F44E476027}">
      <text>
        <r>
          <rPr>
            <b/>
            <sz val="9"/>
            <color indexed="81"/>
            <rFont val="Tahoma"/>
            <family val="2"/>
          </rPr>
          <t>Baker, Mike A (DOR): See 10K page 130</t>
        </r>
      </text>
    </comment>
    <comment ref="E23" authorId="0" shapeId="0" xr:uid="{E4104CC9-4467-424F-A12F-9C87AF16137F}">
      <text>
        <r>
          <rPr>
            <b/>
            <sz val="9"/>
            <color indexed="81"/>
            <rFont val="Tahoma"/>
            <family val="2"/>
          </rPr>
          <t>Baker, Mike A (DOR):See 10K page 92</t>
        </r>
        <r>
          <rPr>
            <sz val="9"/>
            <color indexed="81"/>
            <rFont val="Tahoma"/>
            <family val="2"/>
          </rPr>
          <t xml:space="preserve">
</t>
        </r>
      </text>
    </comment>
    <comment ref="E24" authorId="0" shapeId="0" xr:uid="{24BE94E8-317C-437F-9268-4C58EE529CDF}">
      <text>
        <r>
          <rPr>
            <b/>
            <sz val="9"/>
            <color indexed="81"/>
            <rFont val="Tahoma"/>
            <family val="2"/>
          </rPr>
          <t>Baker, Mike A (DOR):</t>
        </r>
        <r>
          <rPr>
            <sz val="9"/>
            <color indexed="81"/>
            <rFont val="Tahoma"/>
            <family val="2"/>
          </rPr>
          <t xml:space="preserve">
See 10K page 128
</t>
        </r>
      </text>
    </comment>
    <comment ref="E25" authorId="0" shapeId="0" xr:uid="{FB54CD04-51DD-4207-BEB0-4917D28AE2A2}">
      <text>
        <r>
          <rPr>
            <b/>
            <sz val="9"/>
            <color indexed="81"/>
            <rFont val="Tahoma"/>
            <family val="2"/>
          </rPr>
          <t>Baker, Mike A (DOR):</t>
        </r>
        <r>
          <rPr>
            <sz val="9"/>
            <color indexed="81"/>
            <rFont val="Tahoma"/>
            <family val="2"/>
          </rPr>
          <t xml:space="preserve">
See 10K page 62
</t>
        </r>
      </text>
    </comment>
    <comment ref="E26" authorId="0" shapeId="0" xr:uid="{D5C007EB-2208-44BA-846B-CA901075D57B}">
      <text>
        <r>
          <rPr>
            <b/>
            <sz val="9"/>
            <color indexed="81"/>
            <rFont val="Tahoma"/>
            <family val="2"/>
          </rPr>
          <t>Baker, Mike A (DOR):</t>
        </r>
        <r>
          <rPr>
            <sz val="9"/>
            <color indexed="81"/>
            <rFont val="Tahoma"/>
            <family val="2"/>
          </rPr>
          <t xml:space="preserve">
See 10K page 86</t>
        </r>
      </text>
    </comment>
    <comment ref="E27" authorId="0" shapeId="0" xr:uid="{EC119FF2-50FC-4ACB-9B59-A727AFFDEEA4}">
      <text>
        <r>
          <rPr>
            <b/>
            <sz val="9"/>
            <color indexed="81"/>
            <rFont val="Tahoma"/>
            <family val="2"/>
          </rPr>
          <t>Baker, Mike A (DOR):</t>
        </r>
        <r>
          <rPr>
            <sz val="9"/>
            <color indexed="81"/>
            <rFont val="Tahoma"/>
            <family val="2"/>
          </rPr>
          <t xml:space="preserve">
See 10K page 127 - II80</t>
        </r>
      </text>
    </comment>
    <comment ref="E28" authorId="0" shapeId="0" xr:uid="{1BB15C94-4DE5-4604-B2B4-ACC293261279}">
      <text>
        <r>
          <rPr>
            <b/>
            <sz val="9"/>
            <color indexed="81"/>
            <rFont val="Tahoma"/>
            <family val="2"/>
          </rPr>
          <t>Baker, Mike A (DOR):</t>
        </r>
        <r>
          <rPr>
            <sz val="9"/>
            <color indexed="81"/>
            <rFont val="Tahoma"/>
            <family val="2"/>
          </rPr>
          <t xml:space="preserve">
See 10K page 97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Baker, Mike A (DOR)</author>
  </authors>
  <commentList>
    <comment ref="D20" authorId="0" shapeId="0" xr:uid="{F1710017-BD7D-49A8-98D5-3831B0BD4E4E}">
      <text>
        <r>
          <rPr>
            <b/>
            <sz val="9"/>
            <color indexed="81"/>
            <rFont val="Tahoma"/>
            <family val="2"/>
          </rPr>
          <t>Baker, Mike A (DOR):</t>
        </r>
        <r>
          <rPr>
            <sz val="9"/>
            <color indexed="81"/>
            <rFont val="Tahoma"/>
            <family val="2"/>
          </rPr>
          <t xml:space="preserve">
See 10K page 150</t>
        </r>
      </text>
    </comment>
    <comment ref="G20" authorId="0" shapeId="0" xr:uid="{CA005A75-17FC-469D-96D3-C8263E5D8266}">
      <text>
        <r>
          <rPr>
            <b/>
            <sz val="9"/>
            <color indexed="81"/>
            <rFont val="Tahoma"/>
            <family val="2"/>
          </rPr>
          <t>Baker, Mike A (DOR):</t>
        </r>
        <r>
          <rPr>
            <sz val="9"/>
            <color indexed="81"/>
            <rFont val="Tahoma"/>
            <family val="2"/>
          </rPr>
          <t xml:space="preserve">
See 10K page 135</t>
        </r>
      </text>
    </comment>
    <comment ref="D21" authorId="0" shapeId="0" xr:uid="{8D8BCC73-2474-4059-947D-005784D7C3CF}">
      <text>
        <r>
          <rPr>
            <b/>
            <sz val="9"/>
            <color indexed="81"/>
            <rFont val="Tahoma"/>
            <family val="2"/>
          </rPr>
          <t>Baker, Mike A (DOR):</t>
        </r>
        <r>
          <rPr>
            <sz val="9"/>
            <color indexed="81"/>
            <rFont val="Tahoma"/>
            <family val="2"/>
          </rPr>
          <t xml:space="preserve">
See 10K page 91</t>
        </r>
      </text>
    </comment>
    <comment ref="G21" authorId="0" shapeId="0" xr:uid="{BDCFB2AD-25C3-42AC-9F0D-395D6BEA82DD}">
      <text>
        <r>
          <rPr>
            <b/>
            <sz val="9"/>
            <color indexed="81"/>
            <rFont val="Tahoma"/>
            <family val="2"/>
          </rPr>
          <t>Baker, Mike A (DOR):</t>
        </r>
        <r>
          <rPr>
            <sz val="9"/>
            <color indexed="81"/>
            <rFont val="Tahoma"/>
            <family val="2"/>
          </rPr>
          <t xml:space="preserve">
See 10K page 89</t>
        </r>
      </text>
    </comment>
    <comment ref="D22" authorId="0" shapeId="0" xr:uid="{7845EFCE-99E8-4B70-8F2D-D9DF602723B1}">
      <text>
        <r>
          <rPr>
            <b/>
            <sz val="9"/>
            <color indexed="81"/>
            <rFont val="Tahoma"/>
            <family val="2"/>
          </rPr>
          <t>Baker, Mike A (DOR):</t>
        </r>
        <r>
          <rPr>
            <sz val="9"/>
            <color indexed="81"/>
            <rFont val="Tahoma"/>
            <family val="2"/>
          </rPr>
          <t xml:space="preserve">
See 10K page 125</t>
        </r>
      </text>
    </comment>
    <comment ref="G22" authorId="0" shapeId="0" xr:uid="{CFE87A07-1778-42A1-B824-4B365D6CA8A9}">
      <text>
        <r>
          <rPr>
            <b/>
            <sz val="9"/>
            <color indexed="81"/>
            <rFont val="Tahoma"/>
            <family val="2"/>
          </rPr>
          <t>Baker, Mike A (DOR):</t>
        </r>
        <r>
          <rPr>
            <sz val="9"/>
            <color indexed="81"/>
            <rFont val="Tahoma"/>
            <family val="2"/>
          </rPr>
          <t xml:space="preserve">
See 10K page 125</t>
        </r>
      </text>
    </comment>
    <comment ref="D23" authorId="0" shapeId="0" xr:uid="{BB021DAC-5E8F-44B7-8A3C-A8A2291D240E}">
      <text>
        <r>
          <rPr>
            <b/>
            <sz val="9"/>
            <color indexed="81"/>
            <rFont val="Tahoma"/>
            <family val="2"/>
          </rPr>
          <t>Baker, Mike A (DOR):</t>
        </r>
        <r>
          <rPr>
            <sz val="9"/>
            <color indexed="81"/>
            <rFont val="Tahoma"/>
            <family val="2"/>
          </rPr>
          <t xml:space="preserve">
See 10K page 94-96
</t>
        </r>
      </text>
    </comment>
    <comment ref="G23" authorId="0" shapeId="0" xr:uid="{286C9A49-5153-43A6-B040-F0ACDB18DC08}">
      <text>
        <r>
          <rPr>
            <b/>
            <sz val="9"/>
            <color indexed="81"/>
            <rFont val="Tahoma"/>
            <family val="2"/>
          </rPr>
          <t>Baker, Mike A (DOR):</t>
        </r>
        <r>
          <rPr>
            <sz val="9"/>
            <color indexed="81"/>
            <rFont val="Tahoma"/>
            <family val="2"/>
          </rPr>
          <t xml:space="preserve">
See 10K page 60-62</t>
        </r>
      </text>
    </comment>
    <comment ref="D24" authorId="0" shapeId="0" xr:uid="{DC902091-39A4-44A0-863D-A9A36027BD9B}">
      <text>
        <r>
          <rPr>
            <b/>
            <sz val="9"/>
            <color indexed="81"/>
            <rFont val="Tahoma"/>
            <family val="2"/>
          </rPr>
          <t>Baker, Mike A (DOR):</t>
        </r>
        <r>
          <rPr>
            <sz val="9"/>
            <color indexed="81"/>
            <rFont val="Tahoma"/>
            <family val="2"/>
          </rPr>
          <t xml:space="preserve">
See 10K page 114</t>
        </r>
      </text>
    </comment>
    <comment ref="G24" authorId="0" shapeId="0" xr:uid="{F67AE1AF-6C41-471E-A3EF-69C9D16458B1}">
      <text>
        <r>
          <rPr>
            <b/>
            <sz val="9"/>
            <color indexed="81"/>
            <rFont val="Tahoma"/>
            <family val="2"/>
          </rPr>
          <t>Baker, Mike A (DOR):</t>
        </r>
        <r>
          <rPr>
            <sz val="9"/>
            <color indexed="81"/>
            <rFont val="Tahoma"/>
            <family val="2"/>
          </rPr>
          <t xml:space="preserve">
See 10K page 83 and 114 for conflicting figures</t>
        </r>
      </text>
    </comment>
    <comment ref="D25" authorId="0" shapeId="0" xr:uid="{84D6CB2D-1DD8-4048-A126-FBD4B16152C8}">
      <text>
        <r>
          <rPr>
            <b/>
            <sz val="9"/>
            <color indexed="81"/>
            <rFont val="Tahoma"/>
            <family val="2"/>
          </rPr>
          <t>Baker, Mike A (DOR):</t>
        </r>
        <r>
          <rPr>
            <sz val="9"/>
            <color indexed="81"/>
            <rFont val="Tahoma"/>
            <family val="2"/>
          </rPr>
          <t xml:space="preserve">
See 10K page 126-II79</t>
        </r>
      </text>
    </comment>
    <comment ref="D26" authorId="0" shapeId="0" xr:uid="{31C617B9-1B4E-4CF8-A596-8E21017A8A33}">
      <text>
        <r>
          <rPr>
            <b/>
            <sz val="9"/>
            <color indexed="81"/>
            <rFont val="Tahoma"/>
            <family val="2"/>
          </rPr>
          <t>Baker, Mike A (DOR):</t>
        </r>
        <r>
          <rPr>
            <sz val="9"/>
            <color indexed="81"/>
            <rFont val="Tahoma"/>
            <family val="2"/>
          </rPr>
          <t xml:space="preserve">
See page 163 of 10K</t>
        </r>
      </text>
    </comment>
    <comment ref="G26" authorId="0" shapeId="0" xr:uid="{5520FD08-5756-401A-AA4A-CA49682CE19B}">
      <text>
        <r>
          <rPr>
            <b/>
            <sz val="9"/>
            <color indexed="81"/>
            <rFont val="Tahoma"/>
            <family val="2"/>
          </rPr>
          <t>Baker, Mike A (DOR):</t>
        </r>
        <r>
          <rPr>
            <sz val="9"/>
            <color indexed="81"/>
            <rFont val="Tahoma"/>
            <family val="2"/>
          </rPr>
          <t xml:space="preserve">
See 10K page 93-100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Baker, Mike A (DOR)</author>
  </authors>
  <commentList>
    <comment ref="C19" authorId="0" shapeId="0" xr:uid="{707C3008-26E8-4303-B3E1-2116564BAE04}">
      <text>
        <r>
          <rPr>
            <b/>
            <sz val="9"/>
            <color indexed="81"/>
            <rFont val="Tahoma"/>
            <family val="2"/>
          </rPr>
          <t>Baker, Mike A (DOR):</t>
        </r>
        <r>
          <rPr>
            <sz val="9"/>
            <color indexed="81"/>
            <rFont val="Tahoma"/>
            <family val="2"/>
          </rPr>
          <t xml:space="preserve">
See 10K page 132</t>
        </r>
      </text>
    </comment>
    <comment ref="E19" authorId="0" shapeId="0" xr:uid="{AE0E139F-CC66-4D8D-8BAB-DB7CAE57ACB1}">
      <text>
        <r>
          <rPr>
            <b/>
            <sz val="9"/>
            <color indexed="81"/>
            <rFont val="Tahoma"/>
            <family val="2"/>
          </rPr>
          <t>Baker, Mike A (DOR):</t>
        </r>
        <r>
          <rPr>
            <sz val="9"/>
            <color indexed="81"/>
            <rFont val="Tahoma"/>
            <family val="2"/>
          </rPr>
          <t xml:space="preserve">
See page 130 of 10 K Added recourse debt too</t>
        </r>
      </text>
    </comment>
    <comment ref="D20" authorId="0" shapeId="0" xr:uid="{8B151F6F-4C90-452F-9D1B-B7A4A1BAC17C}">
      <text>
        <r>
          <rPr>
            <b/>
            <sz val="9"/>
            <color indexed="81"/>
            <rFont val="Tahoma"/>
            <family val="2"/>
          </rPr>
          <t>Baker, Mike A (DOR):</t>
        </r>
        <r>
          <rPr>
            <sz val="9"/>
            <color indexed="81"/>
            <rFont val="Tahoma"/>
            <family val="2"/>
          </rPr>
          <t xml:space="preserve">
See 10K page 127</t>
        </r>
      </text>
    </comment>
    <comment ref="C21" authorId="0" shapeId="0" xr:uid="{8E1E49B2-51D4-4299-BA11-B2802C5BBB53}">
      <text>
        <r>
          <rPr>
            <b/>
            <sz val="9"/>
            <color indexed="81"/>
            <rFont val="Tahoma"/>
            <family val="2"/>
          </rPr>
          <t>Baker, Mike A (DOR):</t>
        </r>
        <r>
          <rPr>
            <sz val="9"/>
            <color indexed="81"/>
            <rFont val="Tahoma"/>
            <family val="2"/>
          </rPr>
          <t xml:space="preserve">
See 10K page 125
</t>
        </r>
      </text>
    </comment>
    <comment ref="D21" authorId="0" shapeId="0" xr:uid="{6FE8FD29-A421-4BFA-B6C2-2410BD603319}">
      <text>
        <r>
          <rPr>
            <b/>
            <sz val="9"/>
            <color indexed="81"/>
            <rFont val="Tahoma"/>
            <family val="2"/>
          </rPr>
          <t>Baker, Mike A (DOR):</t>
        </r>
        <r>
          <rPr>
            <sz val="9"/>
            <color indexed="81"/>
            <rFont val="Tahoma"/>
            <family val="2"/>
          </rPr>
          <t xml:space="preserve">
See page 242-248  </t>
        </r>
      </text>
    </comment>
    <comment ref="E21" authorId="0" shapeId="0" xr:uid="{46316CF3-D4A0-495A-A506-71C5EC4CF82D}">
      <text>
        <r>
          <rPr>
            <b/>
            <sz val="9"/>
            <color indexed="81"/>
            <rFont val="Tahoma"/>
            <family val="2"/>
          </rPr>
          <t>Baker, Mike A (DOR):</t>
        </r>
        <r>
          <rPr>
            <sz val="9"/>
            <color indexed="81"/>
            <rFont val="Tahoma"/>
            <family val="2"/>
          </rPr>
          <t xml:space="preserve">
See page 128 of 10K </t>
        </r>
      </text>
    </comment>
    <comment ref="C22" authorId="0" shapeId="0" xr:uid="{779BD1AE-E298-48B2-8ED5-9584ADB94539}">
      <text>
        <r>
          <rPr>
            <b/>
            <sz val="9"/>
            <color indexed="81"/>
            <rFont val="Tahoma"/>
            <family val="2"/>
          </rPr>
          <t>Baker, Mike A (DOR):</t>
        </r>
        <r>
          <rPr>
            <sz val="9"/>
            <color indexed="81"/>
            <rFont val="Tahoma"/>
            <family val="2"/>
          </rPr>
          <t xml:space="preserve">
See 10K page 111
</t>
        </r>
      </text>
    </comment>
    <comment ref="D22" authorId="0" shapeId="0" xr:uid="{77DDE053-56E9-4A4A-AC2E-9AFFC5DA3579}">
      <text>
        <r>
          <rPr>
            <b/>
            <sz val="9"/>
            <color indexed="81"/>
            <rFont val="Tahoma"/>
            <family val="2"/>
          </rPr>
          <t>Baker, Mike A (DOR):</t>
        </r>
        <r>
          <rPr>
            <sz val="9"/>
            <color indexed="81"/>
            <rFont val="Tahoma"/>
            <family val="2"/>
          </rPr>
          <t xml:space="preserve">
See page 90
</t>
        </r>
      </text>
    </comment>
    <comment ref="E22" authorId="0" shapeId="0" xr:uid="{D53E9D94-409F-4CB5-B4BD-E698003D8CBA}">
      <text>
        <r>
          <rPr>
            <b/>
            <sz val="9"/>
            <color indexed="81"/>
            <rFont val="Tahoma"/>
            <family val="2"/>
          </rPr>
          <t>Baker, Mike A (DOR):</t>
        </r>
        <r>
          <rPr>
            <sz val="9"/>
            <color indexed="81"/>
            <rFont val="Tahoma"/>
            <family val="2"/>
          </rPr>
          <t xml:space="preserve">
See page 62 of 10K </t>
        </r>
      </text>
    </comment>
    <comment ref="C23" authorId="0" shapeId="0" xr:uid="{A808F87F-D7AE-4412-AE8F-04E96AB6C4C8}">
      <text>
        <r>
          <rPr>
            <b/>
            <sz val="9"/>
            <color indexed="81"/>
            <rFont val="Tahoma"/>
            <family val="2"/>
          </rPr>
          <t>Baker, Mike A (DOR):</t>
        </r>
        <r>
          <rPr>
            <sz val="9"/>
            <color indexed="81"/>
            <rFont val="Tahoma"/>
            <family val="2"/>
          </rPr>
          <t xml:space="preserve">
See page 83 of 10K</t>
        </r>
      </text>
    </comment>
    <comment ref="E23" authorId="0" shapeId="0" xr:uid="{9A599FAE-09F2-43F2-BC63-2757B4193BBB}">
      <text>
        <r>
          <rPr>
            <b/>
            <sz val="9"/>
            <color indexed="81"/>
            <rFont val="Tahoma"/>
            <family val="2"/>
          </rPr>
          <t>Baker, Mike A (DOR):</t>
        </r>
        <r>
          <rPr>
            <sz val="9"/>
            <color indexed="81"/>
            <rFont val="Tahoma"/>
            <family val="2"/>
          </rPr>
          <t xml:space="preserve">
See page 86 of 10K</t>
        </r>
      </text>
    </comment>
    <comment ref="C24" authorId="0" shapeId="0" xr:uid="{78178273-BF3B-479F-ACF4-C363ED38A67F}">
      <text>
        <r>
          <rPr>
            <b/>
            <sz val="9"/>
            <color indexed="81"/>
            <rFont val="Tahoma"/>
            <family val="2"/>
          </rPr>
          <t>Baker, Mike A (DOR):</t>
        </r>
        <r>
          <rPr>
            <sz val="9"/>
            <color indexed="81"/>
            <rFont val="Tahoma"/>
            <family val="2"/>
          </rPr>
          <t xml:space="preserve">
See page 122  II-76</t>
        </r>
      </text>
    </comment>
    <comment ref="C25" authorId="0" shapeId="0" xr:uid="{F36BF89A-AF54-428E-B9C7-E54205668E12}">
      <text>
        <r>
          <rPr>
            <b/>
            <sz val="9"/>
            <color indexed="81"/>
            <rFont val="Tahoma"/>
            <family val="2"/>
          </rPr>
          <t>Baker, Mike A (DOR):</t>
        </r>
        <r>
          <rPr>
            <sz val="9"/>
            <color indexed="81"/>
            <rFont val="Tahoma"/>
            <family val="2"/>
          </rPr>
          <t xml:space="preserve">
See page 93 of 10K</t>
        </r>
      </text>
    </comment>
    <comment ref="E25" authorId="0" shapeId="0" xr:uid="{F633F454-09BE-43FD-97C7-71D276D1E333}">
      <text>
        <r>
          <rPr>
            <b/>
            <sz val="9"/>
            <color indexed="81"/>
            <rFont val="Tahoma"/>
            <family val="2"/>
          </rPr>
          <t>Baker, Mike A (DOR):</t>
        </r>
        <r>
          <rPr>
            <sz val="9"/>
            <color indexed="81"/>
            <rFont val="Tahoma"/>
            <family val="2"/>
          </rPr>
          <t xml:space="preserve">
See page 96-103 of 10K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Baker, Mike A (DOR)</author>
  </authors>
  <commentList>
    <comment ref="F16" authorId="0" shapeId="0" xr:uid="{E233C07A-5992-4A35-B33E-8DDF2DCAC6FF}">
      <text>
        <r>
          <rPr>
            <b/>
            <sz val="9"/>
            <color indexed="81"/>
            <rFont val="Tahoma"/>
            <family val="2"/>
          </rPr>
          <t>Baker, Mike A (DOR):</t>
        </r>
        <r>
          <rPr>
            <sz val="9"/>
            <color indexed="81"/>
            <rFont val="Tahoma"/>
            <family val="2"/>
          </rPr>
          <t xml:space="preserve">
See 10K page 77</t>
        </r>
      </text>
    </comment>
    <comment ref="H16" authorId="0" shapeId="0" xr:uid="{597BCFA3-2C4F-4D70-8AFD-42E39690892A}">
      <text>
        <r>
          <rPr>
            <b/>
            <sz val="9"/>
            <color indexed="81"/>
            <rFont val="Tahoma"/>
            <family val="2"/>
          </rPr>
          <t>Baker, Mike A (DOR):</t>
        </r>
        <r>
          <rPr>
            <sz val="9"/>
            <color indexed="81"/>
            <rFont val="Tahoma"/>
            <family val="2"/>
          </rPr>
          <t xml:space="preserve">
See 10K page 77</t>
        </r>
      </text>
    </comment>
    <comment ref="H18" authorId="0" shapeId="0" xr:uid="{26331326-44B9-4AA3-8CC2-E564EBAB2BCD}">
      <text>
        <r>
          <rPr>
            <b/>
            <sz val="9"/>
            <color indexed="81"/>
            <rFont val="Tahoma"/>
            <family val="2"/>
          </rPr>
          <t>Baker, Mike A (DOR):</t>
        </r>
        <r>
          <rPr>
            <sz val="9"/>
            <color indexed="81"/>
            <rFont val="Tahoma"/>
            <family val="2"/>
          </rPr>
          <t xml:space="preserve">
See page 46-48 of 10K</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Baker, Mike A (DOR)</author>
  </authors>
  <commentList>
    <comment ref="E16" authorId="0" shapeId="0" xr:uid="{CCBA3893-B5E0-458D-A1A8-B4865A96567B}">
      <text>
        <r>
          <rPr>
            <b/>
            <sz val="9"/>
            <color indexed="81"/>
            <rFont val="Tahoma"/>
            <family val="2"/>
          </rPr>
          <t>Baker, Mike A (DOR):</t>
        </r>
        <r>
          <rPr>
            <sz val="9"/>
            <color indexed="81"/>
            <rFont val="Tahoma"/>
            <family val="2"/>
          </rPr>
          <t xml:space="preserve">
d.82 reported by valueline
</t>
        </r>
      </text>
    </comment>
    <comment ref="E22" authorId="0" shapeId="0" xr:uid="{2F05794F-D7AC-491E-9BDF-5527273886C8}">
      <text>
        <r>
          <rPr>
            <b/>
            <sz val="9"/>
            <color indexed="81"/>
            <rFont val="Tahoma"/>
            <family val="2"/>
          </rPr>
          <t>Baker, Mike A (DOR):</t>
        </r>
        <r>
          <rPr>
            <sz val="9"/>
            <color indexed="81"/>
            <rFont val="Tahoma"/>
            <family val="2"/>
          </rPr>
          <t xml:space="preserve">
d.2.90 reported by valueline</t>
        </r>
      </text>
    </comment>
  </commentList>
</comments>
</file>

<file path=xl/sharedStrings.xml><?xml version="1.0" encoding="utf-8"?>
<sst xmlns="http://schemas.openxmlformats.org/spreadsheetml/2006/main" count="1601" uniqueCount="515">
  <si>
    <t xml:space="preserve"> </t>
  </si>
  <si>
    <t>KENTUCKY DEPARTMENT OF REVENUE</t>
  </si>
  <si>
    <t>Company</t>
  </si>
  <si>
    <t>Ticker</t>
  </si>
  <si>
    <t>Symbol</t>
  </si>
  <si>
    <t xml:space="preserve">Industry </t>
  </si>
  <si>
    <t>Group</t>
  </si>
  <si>
    <t>VL</t>
  </si>
  <si>
    <t>10K / SEC</t>
  </si>
  <si>
    <t>DIVISION OF STATE VALUATION, PUBLIC SERVICE BRANCH</t>
  </si>
  <si>
    <t>Stock Price</t>
  </si>
  <si>
    <t>Preferred Stock</t>
  </si>
  <si>
    <t>Common Stock</t>
  </si>
  <si>
    <t>4th Qtr</t>
  </si>
  <si>
    <t>FMV</t>
  </si>
  <si>
    <t>Calculated</t>
  </si>
  <si>
    <t>Total Market Value</t>
  </si>
  <si>
    <t>% Common Stock</t>
  </si>
  <si>
    <t>Median</t>
  </si>
  <si>
    <t>Average</t>
  </si>
  <si>
    <t xml:space="preserve">Financial </t>
  </si>
  <si>
    <t xml:space="preserve">Actual </t>
  </si>
  <si>
    <t>Strength</t>
  </si>
  <si>
    <t>Tax Rate</t>
  </si>
  <si>
    <t>A</t>
  </si>
  <si>
    <t>B+</t>
  </si>
  <si>
    <t>B++</t>
  </si>
  <si>
    <t>Computed</t>
  </si>
  <si>
    <t>Price</t>
  </si>
  <si>
    <t>Multiple</t>
  </si>
  <si>
    <t>Inverse</t>
  </si>
  <si>
    <t>KENTUCKY</t>
  </si>
  <si>
    <t xml:space="preserve">Source of </t>
  </si>
  <si>
    <t>Capital</t>
  </si>
  <si>
    <t>Cost of Capital</t>
  </si>
  <si>
    <t>Weighted</t>
  </si>
  <si>
    <t>Structure</t>
  </si>
  <si>
    <t>Rate</t>
  </si>
  <si>
    <t>After Tax</t>
  </si>
  <si>
    <t>Cost</t>
  </si>
  <si>
    <t>EQUITY</t>
  </si>
  <si>
    <t>-</t>
  </si>
  <si>
    <t>DEBT</t>
  </si>
  <si>
    <t>TOTAL</t>
  </si>
  <si>
    <t>Industry &gt; Electric Companies</t>
  </si>
  <si>
    <t>ALE</t>
  </si>
  <si>
    <t>LNT</t>
  </si>
  <si>
    <t>CMS</t>
  </si>
  <si>
    <t>AEE</t>
  </si>
  <si>
    <t>AEP</t>
  </si>
  <si>
    <t>CNP</t>
  </si>
  <si>
    <t>A+</t>
  </si>
  <si>
    <t xml:space="preserve">  </t>
  </si>
  <si>
    <t>High</t>
  </si>
  <si>
    <t>Low</t>
  </si>
  <si>
    <t>SO</t>
  </si>
  <si>
    <t>Mergent Bond</t>
  </si>
  <si>
    <t>Rating</t>
  </si>
  <si>
    <t>Debt Rate</t>
  </si>
  <si>
    <t>S&amp;P</t>
  </si>
  <si>
    <t>S &amp; P</t>
  </si>
  <si>
    <t>% LT Debt &amp; Pref Stock</t>
  </si>
  <si>
    <t>Baa1</t>
  </si>
  <si>
    <t>Baa2</t>
  </si>
  <si>
    <t>BBB+</t>
  </si>
  <si>
    <t>BBB</t>
  </si>
  <si>
    <t xml:space="preserve">Guideline companies were selected from Electric (East &amp; Central &amp; West) Value Line Industry groups. </t>
  </si>
  <si>
    <t>The capital structure of this industry is a representative or typical capital structure of the group, not that of the present owner.  The capital structure selected reflects the most likely arrangement of a prospective buyer.</t>
  </si>
  <si>
    <t>A1</t>
  </si>
  <si>
    <t>Ba1</t>
  </si>
  <si>
    <t>A3</t>
  </si>
  <si>
    <t>Baa3</t>
  </si>
  <si>
    <t>A-</t>
  </si>
  <si>
    <t>BBB-</t>
  </si>
  <si>
    <t>Book Value</t>
  </si>
  <si>
    <t>Shares Issued less Treasury</t>
  </si>
  <si>
    <t>2023 Tax Year</t>
  </si>
  <si>
    <t>DIRECT CAPITALIZATION RATE CONCLUSION</t>
  </si>
  <si>
    <t>YIELD CAPITALIZATION RATE CONCLUSION</t>
  </si>
  <si>
    <t>GCF After Tax</t>
  </si>
  <si>
    <t>Capitalization Rate</t>
  </si>
  <si>
    <t>Capitalization</t>
  </si>
  <si>
    <t>Marginal</t>
  </si>
  <si>
    <t>CAP RATE</t>
  </si>
  <si>
    <t>NOI After Tax  (NOPAT)</t>
  </si>
  <si>
    <t>WACC</t>
  </si>
  <si>
    <t>Notes:</t>
  </si>
  <si>
    <t>Shares Outstanding *</t>
  </si>
  <si>
    <t>Selected</t>
  </si>
  <si>
    <t>2023 CAPITALIZATION RATE STUDY</t>
  </si>
  <si>
    <t>YEAR END 12/31/2022</t>
  </si>
  <si>
    <t>CAPITAL STRUCTURE</t>
  </si>
  <si>
    <t>Maintenance Capital Expenditures</t>
  </si>
  <si>
    <t>Estimate using Guideline Companies</t>
  </si>
  <si>
    <t>Inflation</t>
  </si>
  <si>
    <t>Rate %</t>
  </si>
  <si>
    <t>CPI</t>
  </si>
  <si>
    <t>PP&amp;E Gross</t>
  </si>
  <si>
    <t>PP&amp;E</t>
  </si>
  <si>
    <t>Previous Year</t>
  </si>
  <si>
    <t>Current Year</t>
  </si>
  <si>
    <t>Depreciation</t>
  </si>
  <si>
    <t>Expense</t>
  </si>
  <si>
    <t xml:space="preserve">Average Life of </t>
  </si>
  <si>
    <t>Assets</t>
  </si>
  <si>
    <t>B</t>
  </si>
  <si>
    <t>C</t>
  </si>
  <si>
    <t>D</t>
  </si>
  <si>
    <t>E</t>
  </si>
  <si>
    <t>F</t>
  </si>
  <si>
    <t>G</t>
  </si>
  <si>
    <t>H</t>
  </si>
  <si>
    <t>I</t>
  </si>
  <si>
    <t>J</t>
  </si>
  <si>
    <t>K</t>
  </si>
  <si>
    <t>F/G</t>
  </si>
  <si>
    <t>C*H</t>
  </si>
  <si>
    <t>1/(1=C)^H</t>
  </si>
  <si>
    <t>Replacement</t>
  </si>
  <si>
    <t xml:space="preserve">Cost </t>
  </si>
  <si>
    <t>RC as % of</t>
  </si>
  <si>
    <t>K/G</t>
  </si>
  <si>
    <t>L</t>
  </si>
  <si>
    <t>(D+E)/2</t>
  </si>
  <si>
    <t>(G*I) / (1-J)</t>
  </si>
  <si>
    <t>*</t>
  </si>
  <si>
    <t>Gross Cash Flow</t>
  </si>
  <si>
    <t>NOPAT</t>
  </si>
  <si>
    <t>VL Projected NOI</t>
  </si>
  <si>
    <t xml:space="preserve">Year End </t>
  </si>
  <si>
    <t>VL Historic</t>
  </si>
  <si>
    <t>VL Projected</t>
  </si>
  <si>
    <t>Interest Expense</t>
  </si>
  <si>
    <t>Mkt Value LT Debt</t>
  </si>
  <si>
    <t>Book Value LT Debt</t>
  </si>
  <si>
    <t>Current</t>
  </si>
  <si>
    <t>Yield</t>
  </si>
  <si>
    <t>C/H</t>
  </si>
  <si>
    <t>(D+F)/2</t>
  </si>
  <si>
    <t>BETA SELECTION for CAPM</t>
  </si>
  <si>
    <t>SELECTED AVERAGE &gt;</t>
  </si>
  <si>
    <t>Source</t>
  </si>
  <si>
    <t>GDP</t>
  </si>
  <si>
    <t>Nominal</t>
  </si>
  <si>
    <t>Growth</t>
  </si>
  <si>
    <t>DEBT RATE for Yield Approach</t>
  </si>
  <si>
    <t>Book Ratio</t>
  </si>
  <si>
    <t>Mkt to</t>
  </si>
  <si>
    <t>Numeric</t>
  </si>
  <si>
    <t>10K / GAAP</t>
  </si>
  <si>
    <t>Caa3</t>
  </si>
  <si>
    <t>Caa2</t>
  </si>
  <si>
    <t>Caa1</t>
  </si>
  <si>
    <t>B3</t>
  </si>
  <si>
    <t>B2</t>
  </si>
  <si>
    <t>B1</t>
  </si>
  <si>
    <t>Ba3</t>
  </si>
  <si>
    <t>Ba2</t>
  </si>
  <si>
    <t>A2</t>
  </si>
  <si>
    <t>Aa3</t>
  </si>
  <si>
    <t>Aa2</t>
  </si>
  <si>
    <t>Aa1</t>
  </si>
  <si>
    <t>Bond Rating Scale</t>
  </si>
  <si>
    <t>Levered Beta</t>
  </si>
  <si>
    <t>Notes</t>
  </si>
  <si>
    <t>https://www.philadelphiafed.org/research-and-data/real-time-center/livingston-survey</t>
  </si>
  <si>
    <t>https://www.philadelphiafed.org/surveys-and-data/real-time-data-research/survey-of-professional-forecasters</t>
  </si>
  <si>
    <t>https://www.cbo.gov/about/products/budget-economic-data#4</t>
  </si>
  <si>
    <t>Preferred Stock ***</t>
  </si>
  <si>
    <t>Long Term Debt **</t>
  </si>
  <si>
    <t>*** Market value of preferred stock assumed to equal book value</t>
  </si>
  <si>
    <t>* Outstanding stock shares are generally already net of Treasury stock shares</t>
  </si>
  <si>
    <t>MODEL</t>
  </si>
  <si>
    <t>EQUITY RATES for YIELD APPROACH</t>
  </si>
  <si>
    <t>CAPM - The CFO Survey</t>
  </si>
  <si>
    <t>CAPM - Fernandez, Banuls, &amp; Acin</t>
  </si>
  <si>
    <t>CAPM - Ex Post (BVR Historical, Arithmeic)</t>
  </si>
  <si>
    <t>CAPM - Ex Post (BVR Historical, Geometric)</t>
  </si>
  <si>
    <t>Empirical CAPM - The CFO Survey</t>
  </si>
  <si>
    <t>Empirical CAPM - Fernandez, Banuls, &amp; Acin</t>
  </si>
  <si>
    <t>Empirical CAPM - Ex Post (BVR Historical, Arithmeic)</t>
  </si>
  <si>
    <t>Empirical CAPM - Ex Post (BVR Historical, Geometric)</t>
  </si>
  <si>
    <t>Stock</t>
  </si>
  <si>
    <t>Dividends</t>
  </si>
  <si>
    <t>Per Share</t>
  </si>
  <si>
    <t>Dividend</t>
  </si>
  <si>
    <t>Historic</t>
  </si>
  <si>
    <t>Dividend Data</t>
  </si>
  <si>
    <t>AA-</t>
  </si>
  <si>
    <t>Earnings</t>
  </si>
  <si>
    <t>Equity</t>
  </si>
  <si>
    <t>Equity Rate</t>
  </si>
  <si>
    <t>(F+G)</t>
  </si>
  <si>
    <t>(F+H)</t>
  </si>
  <si>
    <t>Dividend Yield</t>
  </si>
  <si>
    <t xml:space="preserve">Projected Short Term </t>
  </si>
  <si>
    <t>DGM - Earnings Growth Rate &gt;</t>
  </si>
  <si>
    <t>DGM - Dividend Growth Rate &gt;</t>
  </si>
  <si>
    <t>Yield Equity Rate - DGM (Two-Stage)</t>
  </si>
  <si>
    <t>Stable</t>
  </si>
  <si>
    <t>Growth Rate</t>
  </si>
  <si>
    <t>Earnings Per Share</t>
  </si>
  <si>
    <t>Cost of</t>
  </si>
  <si>
    <t>g</t>
  </si>
  <si>
    <t>DY</t>
  </si>
  <si>
    <t>G1</t>
  </si>
  <si>
    <t>(G1 + g)/2</t>
  </si>
  <si>
    <t>KE = (DY X (1 + .5(G))) + .67 (G1) + .33(g)</t>
  </si>
  <si>
    <t>Kentucky</t>
  </si>
  <si>
    <r>
      <t xml:space="preserve">DEBT RATE for Direct Approach </t>
    </r>
    <r>
      <rPr>
        <b/>
        <sz val="12"/>
        <color theme="1"/>
        <rFont val="Microsoft GothicNeo"/>
        <family val="2"/>
        <charset val="129"/>
      </rPr>
      <t>(Embedded)</t>
    </r>
  </si>
  <si>
    <t>Common Equity</t>
  </si>
  <si>
    <t>.</t>
  </si>
  <si>
    <t xml:space="preserve">Obligations rated Ca are highly speculative and are likely in, or very near, default, with some prospect of recovery in principal and interest. </t>
  </si>
  <si>
    <t xml:space="preserve">Obligations rated C are the lowest-rated class of bonds and are typical­ly in default, with little prospect for recovery of principal and interest. </t>
  </si>
  <si>
    <t xml:space="preserve">Obligations rated Caa are judged to be of poor standing and are subject to very high credit risk . </t>
  </si>
  <si>
    <t>Obligations rated Aaa are judged to be of the highest quality, with minimal risk.</t>
  </si>
  <si>
    <t xml:space="preserve">Obligations rated A are considered upper-medium-grade and are sub­ject to low credit risk. </t>
  </si>
  <si>
    <t xml:space="preserve">Obligations rated B are considered speculative and are subject to high credit risk. </t>
  </si>
  <si>
    <t xml:space="preserve">Obligations rated Ba are judged to have speculative elements and are subject to substantial credit risk. </t>
  </si>
  <si>
    <t xml:space="preserve">Obligations rated Baa are subject to moderate credit risk. They are considered medium-grade and as such may possess speculative characteristics. </t>
  </si>
  <si>
    <t>D1 = Expected Dividends</t>
  </si>
  <si>
    <r>
      <t>K</t>
    </r>
    <r>
      <rPr>
        <b/>
        <sz val="10"/>
        <color theme="1"/>
        <rFont val="Microsoft GothicNeo"/>
        <family val="2"/>
        <charset val="129"/>
      </rPr>
      <t>E</t>
    </r>
    <r>
      <rPr>
        <b/>
        <sz val="16"/>
        <color theme="1"/>
        <rFont val="Microsoft GothicNeo"/>
        <family val="2"/>
        <charset val="129"/>
      </rPr>
      <t xml:space="preserve"> = (D</t>
    </r>
    <r>
      <rPr>
        <b/>
        <sz val="10"/>
        <color theme="1"/>
        <rFont val="Microsoft GothicNeo"/>
        <family val="2"/>
        <charset val="129"/>
      </rPr>
      <t>1</t>
    </r>
    <r>
      <rPr>
        <b/>
        <sz val="16"/>
        <color theme="1"/>
        <rFont val="Microsoft GothicNeo"/>
        <family val="2"/>
        <charset val="129"/>
      </rPr>
      <t xml:space="preserve"> / P</t>
    </r>
    <r>
      <rPr>
        <b/>
        <sz val="10"/>
        <color theme="1"/>
        <rFont val="Microsoft GothicNeo"/>
        <family val="2"/>
        <charset val="129"/>
      </rPr>
      <t>o</t>
    </r>
    <r>
      <rPr>
        <b/>
        <sz val="16"/>
        <color theme="1"/>
        <rFont val="Microsoft GothicNeo"/>
        <family val="2"/>
        <charset val="129"/>
      </rPr>
      <t>) + G</t>
    </r>
  </si>
  <si>
    <t>KE = Cost of Equity</t>
  </si>
  <si>
    <t>Po   = Current Price</t>
  </si>
  <si>
    <r>
      <t>Price (P</t>
    </r>
    <r>
      <rPr>
        <b/>
        <sz val="9"/>
        <color theme="1"/>
        <rFont val="Microsoft GothicNeo"/>
        <family val="2"/>
        <charset val="129"/>
      </rPr>
      <t>0</t>
    </r>
    <r>
      <rPr>
        <b/>
        <sz val="11"/>
        <color theme="1"/>
        <rFont val="Microsoft GothicNeo"/>
        <family val="2"/>
        <charset val="129"/>
      </rPr>
      <t>)</t>
    </r>
  </si>
  <si>
    <t xml:space="preserve">Dividend Growth Rate </t>
  </si>
  <si>
    <t xml:space="preserve">Earnings Per Share Growth Rate </t>
  </si>
  <si>
    <r>
      <t>Long Term Debt</t>
    </r>
    <r>
      <rPr>
        <b/>
        <sz val="10"/>
        <color theme="1"/>
        <rFont val="Microsoft GothicNeo"/>
        <family val="2"/>
        <charset val="129"/>
      </rPr>
      <t xml:space="preserve"> </t>
    </r>
  </si>
  <si>
    <t>CAPITAL ASSET PRICING MODEL (CAPM)</t>
  </si>
  <si>
    <t>Selected &gt;</t>
  </si>
  <si>
    <t>Inflation and Gross Domestic Product (GDP) Data</t>
  </si>
  <si>
    <t>INFLATION &amp; GDP</t>
  </si>
  <si>
    <t>(2)  Federal Reserve Bank of Philadelphia The Livingston Survey December 17, 2022 Table 3, page 8   Median annual CPI Rate and Real GDP Growth Rate for next 10 years</t>
  </si>
  <si>
    <t>SELECTED &gt;</t>
  </si>
  <si>
    <t>Equity Risk Premium (ERP)</t>
  </si>
  <si>
    <t>Indicated Equity Rate</t>
  </si>
  <si>
    <t>Industry Risk Premium</t>
  </si>
  <si>
    <t>Weighted Industry Risk Premium (75%)</t>
  </si>
  <si>
    <t>Weighted Equity Risk Premium (25%)</t>
  </si>
  <si>
    <t xml:space="preserve">The CFO Survey  (4) </t>
  </si>
  <si>
    <t>BVR - Historical, Arithmetic Mean  (6)</t>
  </si>
  <si>
    <t>BVR - Historical, Geometric Mean  (7)</t>
  </si>
  <si>
    <t>Empirical CAPM Models</t>
  </si>
  <si>
    <t>CAPM Models</t>
  </si>
  <si>
    <t>KE = Rf + (B  X  ERP X  75%) = (ERP  X  25%)</t>
  </si>
  <si>
    <t>KE = Rf + (B  X  ERP)</t>
  </si>
  <si>
    <t>Industry Beta (B)</t>
  </si>
  <si>
    <t>Value Line Earnings</t>
  </si>
  <si>
    <t>Value Line Dividends</t>
  </si>
  <si>
    <t>Yahoo Finance</t>
  </si>
  <si>
    <t>Return on</t>
  </si>
  <si>
    <t>Gross Revenue</t>
  </si>
  <si>
    <t>Multiplier</t>
  </si>
  <si>
    <t>NOPAT CASH FLOW MULTIPLE &amp; EQUITY RATE</t>
  </si>
  <si>
    <r>
      <t xml:space="preserve">NOPAT CASH FLOW MULTIPLE &amp; EQUITY RATE </t>
    </r>
    <r>
      <rPr>
        <b/>
        <sz val="12"/>
        <color theme="1"/>
        <rFont val="Microsoft GothicNeo"/>
        <family val="2"/>
        <charset val="129"/>
      </rPr>
      <t>(1 Yr Projected VL)</t>
    </r>
  </si>
  <si>
    <t>Long Term Debt includes LT Debt plus Current Portion of LT debt, plus Finance Leases</t>
  </si>
  <si>
    <t>Two-Stage DGM Rate &gt;</t>
  </si>
  <si>
    <t>DGM - Single Stage - Earnings Growth</t>
  </si>
  <si>
    <t>DGM - Single Stage - Dividend Growth</t>
  </si>
  <si>
    <t>DGM - Two Stage - Dividend Growth</t>
  </si>
  <si>
    <t>VL LT Projected NOI</t>
  </si>
  <si>
    <t>Indicated Rate of Debt &gt;</t>
  </si>
  <si>
    <t>Year End</t>
  </si>
  <si>
    <t>10K Income Statement</t>
  </si>
  <si>
    <t>10K Balance Sheet</t>
  </si>
  <si>
    <t>Indicated Rate of Equity Selected &gt;</t>
  </si>
  <si>
    <t>SHORT-TERM GROWTH RATES (5 years)</t>
  </si>
  <si>
    <t>INFLATION RATES</t>
  </si>
  <si>
    <t>LONG TERM GROWTH RATES</t>
  </si>
  <si>
    <t xml:space="preserve">The Federal Reserve Bank projects their "longer run" estimate of change in the U.S. real Gross Domestice Product (GDP) </t>
  </si>
  <si>
    <t>The World Bank forecasts U.S. GDP</t>
  </si>
  <si>
    <t>The Economist Intelligence Unit forecasts U.S. real GDP will grow from 2021 to 2050</t>
  </si>
  <si>
    <t>GROWTH &amp; INFLATION RATES</t>
  </si>
  <si>
    <t>Real LT Growth</t>
  </si>
  <si>
    <t>Federal Reserve Board members and Federal Reserve Bank presidents estimate of long run personal consumption expenditures inflation (5)</t>
  </si>
  <si>
    <t xml:space="preserve">FRB members &amp; FRB presidents opinion (5) </t>
  </si>
  <si>
    <t xml:space="preserve">(5) Board of Governors of the Federal Reserve System, Economic projections of Federal Reserve Board members and Federal Reserve Bank presidents under their individual assessments of projected appropriate monetary policy. December 2022 </t>
  </si>
  <si>
    <t xml:space="preserve">Federal Reserve Bank of Philadelphia - The Livingston Survey - Inflation Mean (measured by the CPI over next 10 years) Table 3   (2) </t>
  </si>
  <si>
    <t xml:space="preserve">Federal Reserve Bank of Philadelphia - The Livingston Survey - Inflation Median (measured by the CPI over next 10 years) Page 8  (2)  </t>
  </si>
  <si>
    <t>Survey of Professional Forecasters Tables 8 &amp; 9   (3)</t>
  </si>
  <si>
    <t>Federal Reserve Statistical Release  10 Yr Inflation protected Treasury securities (1)</t>
  </si>
  <si>
    <t xml:space="preserve">Federal Reserve Statistical Release  20 Yr Inflation protected Treasury securities (1) </t>
  </si>
  <si>
    <t xml:space="preserve">Federal Reserve Statistical Release  30 Yr Inflation protected Treasury securities (1) </t>
  </si>
  <si>
    <t>Federal Reserve Bank of Philadelphia / Livingston Survey Mean  (2)</t>
  </si>
  <si>
    <t>Federal Reserve Bank of Philadelphia / Livingston Survey  Median (2)</t>
  </si>
  <si>
    <t>“Since no firm can grow forever at a rate higher than the growth rate of the economy in which it operates, the constant growth rate cannot be greater</t>
  </si>
  <si>
    <t xml:space="preserve">than the overall growth rate of the economy.”  Dr. Aswath Damodaran (n.d.) The Stable Growth Rate, </t>
  </si>
  <si>
    <t>http://pages.stern.nyu.edu/~adamodar/New_Home_Page/valquestions/stablegrowthrate.htm</t>
  </si>
  <si>
    <t>*Cornell, B. &amp; Gerger, R. (2017) Estimating Terminal Values with Inflation : The Inputs Matter - It is Not a Formulaic Exercise.  Business Valuation Review, Vol.36, Number 4, 117-123.</t>
  </si>
  <si>
    <t>C1  C2  C3</t>
  </si>
  <si>
    <t>MEDIAN GROWTH RATES</t>
  </si>
  <si>
    <t>SOURCE &gt;</t>
  </si>
  <si>
    <t>SOURCES &gt;</t>
  </si>
  <si>
    <t>Vl Projected 2023</t>
  </si>
  <si>
    <t>1 Yr Projected</t>
  </si>
  <si>
    <t>3-5 Yr Projected</t>
  </si>
  <si>
    <t>Short Term</t>
  </si>
  <si>
    <t>(1)</t>
  </si>
  <si>
    <t>(1)    4 Year compound annual growth rate (CAGR)  - 3 periods</t>
  </si>
  <si>
    <t>Earnings Data</t>
  </si>
  <si>
    <r>
      <t xml:space="preserve">KY DOR                    Earnings Growth Rate                 </t>
    </r>
    <r>
      <rPr>
        <b/>
        <sz val="9"/>
        <color theme="1"/>
        <rFont val="Microsoft GothicNeo"/>
        <family val="2"/>
        <charset val="129"/>
      </rPr>
      <t xml:space="preserve"> (Median / Average)</t>
    </r>
  </si>
  <si>
    <r>
      <t xml:space="preserve">KY DOR                Dividends Growth Rate </t>
    </r>
    <r>
      <rPr>
        <b/>
        <sz val="9"/>
        <color theme="1"/>
        <rFont val="Microsoft GothicNeo"/>
        <family val="2"/>
        <charset val="129"/>
      </rPr>
      <t xml:space="preserve"> (Median / Average)</t>
    </r>
  </si>
  <si>
    <t>YIELD EQUITY RATE</t>
  </si>
  <si>
    <t>g = b X ROE</t>
  </si>
  <si>
    <t>g = LT growth rate</t>
  </si>
  <si>
    <t>b = reinvestment rate</t>
  </si>
  <si>
    <t>ROE = Return on equity (or return on investment)</t>
  </si>
  <si>
    <t>b = g  / ROE</t>
  </si>
  <si>
    <t>The plowback ratio is multiplied by Net Cash Flow to estimate the amount of additional capital expenditures needed to achieve projected results.</t>
  </si>
  <si>
    <t>Reinvestment Rate =</t>
  </si>
  <si>
    <t>EBIT (1-Tax Rate)</t>
  </si>
  <si>
    <t>Capital Expenditures - Depreciation + Change in Working Capital</t>
  </si>
  <si>
    <t>Aswath Damodaran's model to determine the Reinvesment Rate &gt;</t>
  </si>
  <si>
    <t>It is assumed that the ROE is a fixed (unchanging) rate.</t>
  </si>
  <si>
    <t>Maintenance Capital Expenditures and Change in Working Capital</t>
  </si>
  <si>
    <t>http://www.federalreserve.gov/</t>
  </si>
  <si>
    <t>Board of Governors of the Federal Reserve System, H.15, Selected Interest Rates, Market Yield on U.S. Treasury Securities 30-year constant maturity quoted on investment bases, daily observations, January 3, 2022.</t>
  </si>
  <si>
    <t>Operating Leases ****</t>
  </si>
  <si>
    <t>Market Value</t>
  </si>
  <si>
    <t>10K</t>
  </si>
  <si>
    <t>Market to</t>
  </si>
  <si>
    <t>Long Term Debt</t>
  </si>
  <si>
    <t xml:space="preserve">Capital </t>
  </si>
  <si>
    <t>Market</t>
  </si>
  <si>
    <t>to Book</t>
  </si>
  <si>
    <t>Composite</t>
  </si>
  <si>
    <t>Total</t>
  </si>
  <si>
    <t>AVERAGE</t>
  </si>
  <si>
    <t>Market to Book Ratios - Obsolescence Measurement</t>
  </si>
  <si>
    <t>Common Total Equity</t>
  </si>
  <si>
    <t>FMV / PV</t>
  </si>
  <si>
    <t>GCF CASH FLOW MULTIPLE &amp; EQUITY RATE</t>
  </si>
  <si>
    <r>
      <t xml:space="preserve">GCF CASH FLOW MULTIPLE &amp; EQUITY RATE </t>
    </r>
    <r>
      <rPr>
        <b/>
        <sz val="12"/>
        <color theme="1"/>
        <rFont val="Microsoft GothicNeo"/>
        <family val="2"/>
        <charset val="129"/>
      </rPr>
      <t>(1 Yr Projected VL)</t>
    </r>
  </si>
  <si>
    <t>https://tradingeconomics.com/united-states/gdp-growth</t>
  </si>
  <si>
    <t xml:space="preserve">http://www.worldbank.org/en/publication/global-economic-prospects </t>
  </si>
  <si>
    <t>CFRA                                    S&amp;P Net Advantage</t>
  </si>
  <si>
    <t>Zacks Investment Research</t>
  </si>
  <si>
    <t>Companies excluded from the study &gt;</t>
  </si>
  <si>
    <t>Companies added to the study &gt;</t>
  </si>
  <si>
    <r>
      <t>K</t>
    </r>
    <r>
      <rPr>
        <b/>
        <sz val="10"/>
        <color theme="1"/>
        <rFont val="Microsoft GothicNeo"/>
        <family val="2"/>
        <charset val="129"/>
      </rPr>
      <t>E</t>
    </r>
    <r>
      <rPr>
        <b/>
        <sz val="16"/>
        <color theme="1"/>
        <rFont val="Microsoft GothicNeo"/>
        <family val="2"/>
        <charset val="129"/>
      </rPr>
      <t xml:space="preserve"> = (DY  X  (1+ .5(G)))  + .67(G1)  +  .33(g)</t>
    </r>
  </si>
  <si>
    <t>DY = Dividend Yield     See ValueLine</t>
  </si>
  <si>
    <t>G   = Average growth rate</t>
  </si>
  <si>
    <t>G1 = Short term growth estimate</t>
  </si>
  <si>
    <t>g   = Stable Growth - Nominal growth rate</t>
  </si>
  <si>
    <t>AAA</t>
  </si>
  <si>
    <t>AA+</t>
  </si>
  <si>
    <t>AA</t>
  </si>
  <si>
    <t>Obligations rated Aa are judged to be of high quality, with minimal risk.</t>
  </si>
  <si>
    <t>BB+</t>
  </si>
  <si>
    <t>BB</t>
  </si>
  <si>
    <t>BB-</t>
  </si>
  <si>
    <t>B-</t>
  </si>
  <si>
    <t>CCC+</t>
  </si>
  <si>
    <t>CCC</t>
  </si>
  <si>
    <t>CCC-</t>
  </si>
  <si>
    <t>CC</t>
  </si>
  <si>
    <t>Scale</t>
  </si>
  <si>
    <t>Retained to</t>
  </si>
  <si>
    <t>Shareholders Equity</t>
  </si>
  <si>
    <t>Return on Shareholders Equity -- Annual net profit divided by year-end shareholders equity, expressed as a percentage.</t>
  </si>
  <si>
    <t>Retained to Common Equity -- Net profit less all common and preferred dividends divided by common equity including intangible assets, expressed as a percentage.  Also known as the plowback ratio.</t>
  </si>
  <si>
    <t>Aaa1</t>
  </si>
  <si>
    <t>AAA+</t>
  </si>
  <si>
    <t>Aaa2</t>
  </si>
  <si>
    <t>Aaa3</t>
  </si>
  <si>
    <t>AAA-</t>
  </si>
  <si>
    <t>Ca1</t>
  </si>
  <si>
    <t>CC+</t>
  </si>
  <si>
    <t>Ca2</t>
  </si>
  <si>
    <t>Ca3</t>
  </si>
  <si>
    <t>CC-</t>
  </si>
  <si>
    <t>GROSS REVENUE &amp; GROSS BOOK (EQUITY) MULTIPLES</t>
  </si>
  <si>
    <t>Gross Revenues</t>
  </si>
  <si>
    <t>Gross Book Value Equity</t>
  </si>
  <si>
    <t>Multiple *</t>
  </si>
  <si>
    <t>* This multiple is applicable to service type companies, or those with few assets.  These companies sell at prices related to their revenues.</t>
  </si>
  <si>
    <t>The higher the return on revenue the higher the price to revenue will be.</t>
  </si>
  <si>
    <t>** The book value, or common equity, per share is total owners' equity minus preferred stock divided by the number of common shares outstanding.</t>
  </si>
  <si>
    <t>The purpose of this ratio is to test whether the market price is worth more (or less) than the cost of the assets.</t>
  </si>
  <si>
    <t>If the result is greater than one(1), it indicates the market value exceeds book value and can often be used as a sign of competent management.</t>
  </si>
  <si>
    <t>Share</t>
  </si>
  <si>
    <t>NOPAT Earnings</t>
  </si>
  <si>
    <t>NOPAT CASH FLOW MULTIPLE &amp; EQUITY RATE (LT 25-27 Yr Projected VL</t>
  </si>
  <si>
    <t>P/E Ratio - Long Term Projection NOPAT</t>
  </si>
  <si>
    <t>CS+LTD +PS +OL</t>
  </si>
  <si>
    <t>Dec. 31, 2022</t>
  </si>
  <si>
    <t>Dividend Growth = DY + DG</t>
  </si>
  <si>
    <t>Earnings Growth = DY + EG</t>
  </si>
  <si>
    <t>DY = Dividend Yield</t>
  </si>
  <si>
    <t>DG = Dividend Growth</t>
  </si>
  <si>
    <t>EG = Earnings Growth</t>
  </si>
  <si>
    <t>G = Projected Growth (Div. 5 Yr Growth Rate)</t>
  </si>
  <si>
    <t>G = Projected Growth (Earnings Per Share 5 Yr Growth Rate)</t>
  </si>
  <si>
    <t xml:space="preserve">(6) &amp; (7) Business Valuation Resources, Cost of Capital Professional. (2023). Historical ERP, using arithmetic mean and 20-Year Treasury Securities. </t>
  </si>
  <si>
    <t>nmf</t>
  </si>
  <si>
    <t>Per Share **</t>
  </si>
  <si>
    <t>Projected</t>
  </si>
  <si>
    <t>Estimated 19-21 to 26-28</t>
  </si>
  <si>
    <t>Common Total Equity excludes 'noncontrolling interests' equity value.</t>
  </si>
  <si>
    <t xml:space="preserve">Property, Plant &amp; Equipment includes CWIP, but should exclude intangibles and the associated amortization.  </t>
  </si>
  <si>
    <t xml:space="preserve">(2)  Federal Reserve Bank of Philadelphia The Livingston Survey December 17, 2022 Table 3, page 8   Inflation Rate and Real GDP mean  </t>
  </si>
  <si>
    <t xml:space="preserve">(1)  Federal Reserve Statistical Release  December 31, 2022 </t>
  </si>
  <si>
    <t xml:space="preserve">http://www.federalreserve.gov/Releases/H15/Current/ </t>
  </si>
  <si>
    <t>Inflation is the % change in the value of the Wholesale Price Index (WPI) on a year-to-year basis.</t>
  </si>
  <si>
    <t>5 Yr  Dec 30 2022</t>
  </si>
  <si>
    <t>3.99 - 1.63 = 2.36</t>
  </si>
  <si>
    <t>Federal Reserve Statistical release - Inflation Protected Treasury Indexed Securities - 10 Year  (1)</t>
  </si>
  <si>
    <t>10 Yr  Dec 30 2022</t>
  </si>
  <si>
    <t>3.88 - 1.58 = 2.30</t>
  </si>
  <si>
    <t xml:space="preserve">Federal Reserve Statistical release - Inflation Protected Treasury Indexed Securities - 20 Year  (1) </t>
  </si>
  <si>
    <t>20 Yr  Dec 30 2022</t>
  </si>
  <si>
    <t>4.14 - 1.61 = 2.53</t>
  </si>
  <si>
    <t xml:space="preserve">Federal Reserve Statistical release - Inflation Protected Treasury Indexed Securities - 30 Year (1) </t>
  </si>
  <si>
    <t>30 Yr  Dec 30 2022</t>
  </si>
  <si>
    <t>3.97 - 1.66 = 2.31</t>
  </si>
  <si>
    <t>(3)  Federal Reserve Bank of Philadelphia Survey of Professional Forecasters February 11, 2023 Table 8 and Table 9 Average over next 10-Year mean   See below.</t>
  </si>
  <si>
    <t>spfq123.pdf (philadelphiafed.org)</t>
  </si>
  <si>
    <t>https://www.federalreserve.gov/monetarypolicy/files/fomcprojtabl20221215.pdf</t>
  </si>
  <si>
    <r>
      <t xml:space="preserve">.5% </t>
    </r>
    <r>
      <rPr>
        <b/>
        <sz val="14"/>
        <color theme="1"/>
        <rFont val="Microsoft GothicNeo"/>
        <family val="2"/>
        <charset val="129"/>
      </rPr>
      <t>in 2023</t>
    </r>
    <r>
      <rPr>
        <b/>
        <sz val="18"/>
        <color theme="1"/>
        <rFont val="Microsoft GothicNeo"/>
        <family val="2"/>
        <charset val="129"/>
      </rPr>
      <t xml:space="preserve">   &amp;  1.60%</t>
    </r>
    <r>
      <rPr>
        <b/>
        <sz val="14"/>
        <color theme="1"/>
        <rFont val="Microsoft GothicNeo"/>
        <family val="2"/>
        <charset val="129"/>
      </rPr>
      <t xml:space="preserve"> in 2024 </t>
    </r>
  </si>
  <si>
    <t>AES CORPORATION</t>
  </si>
  <si>
    <t>AES</t>
  </si>
  <si>
    <t>DOMINION ENERGY INC</t>
  </si>
  <si>
    <t>EXELON CORPORATION</t>
  </si>
  <si>
    <t>EXC</t>
  </si>
  <si>
    <t>NRG ENERGY</t>
  </si>
  <si>
    <t>NRG</t>
  </si>
  <si>
    <t>SOUTHERN COMPANY</t>
  </si>
  <si>
    <t>VISTRA ENERGY CORPORATION</t>
  </si>
  <si>
    <t>VST</t>
  </si>
  <si>
    <t>BMX Technologies - Nuclear energy supplier</t>
  </si>
  <si>
    <t>Dominion Energy  (D) -  Independent power production operations</t>
  </si>
  <si>
    <t>Constellation Energy -  Independent power production operations.  This company was severed from Exelon Corp.</t>
  </si>
  <si>
    <t>Power Wholesale</t>
  </si>
  <si>
    <t>0.7369 is CAD to USD Conversion on 12/30/21, https://www.exchange-rates.org/Rate/CAD/USD/12-31-2022 .   US dollar to Canadian 1.357</t>
  </si>
  <si>
    <t>Finance Leases ****</t>
  </si>
  <si>
    <t>&amp; Leases</t>
  </si>
  <si>
    <t>**** Market value of operating leases and finance leases for all companies @ FMV</t>
  </si>
  <si>
    <t xml:space="preserve">** Debt includes  LT Debt  and Current portion of LT Debt.  It may include finance leases (if combined) from 10K.  If not combined, enter separately. </t>
  </si>
  <si>
    <t>NMF</t>
  </si>
  <si>
    <t>na</t>
  </si>
  <si>
    <t>NEE</t>
  </si>
  <si>
    <t>NEXTERA ENERGY INC</t>
  </si>
  <si>
    <t xml:space="preserve">Risk Free Rate (Rf) </t>
  </si>
  <si>
    <t>Yield Equity Rate - DGM (Dividend Growth) &amp; DGM (Earnings Growth)  -- Gordon Growth</t>
  </si>
  <si>
    <t>NextEra Energy (NEE) - Is a holding company and it owns NextEra Energy Resources (NER) which is the nonregulated power generator entity.</t>
  </si>
  <si>
    <t>Companies as possible adds to the study in future &gt;</t>
  </si>
  <si>
    <t>Enphase Energy - Solar energy product supplier</t>
  </si>
  <si>
    <t>Ormat Technologies Inc. - Produce electricity via geothermal operations</t>
  </si>
  <si>
    <t>Sunpower (SPWR) - Solar power producer</t>
  </si>
  <si>
    <t>Northland Power - Electric generator via wind &amp; solar (60%), gas, hydro, thermal in Canada, Europe, USA.  More like a renewable entity.</t>
  </si>
  <si>
    <t>Three Stage Ex Ante  Version 1  (1) (2)</t>
  </si>
  <si>
    <t>Three Stage Ex Ante  Version 2   (1) (2)</t>
  </si>
  <si>
    <t>CAPM - Ex Ante, Three Stage - V1</t>
  </si>
  <si>
    <t>CAPM - Ex Ante, Three Stage - V2</t>
  </si>
  <si>
    <t>Empirical CAPM - Ex Ante, Three Stage - V1</t>
  </si>
  <si>
    <t>Empirical CAPM - Ex Ante, Three Stage - V2</t>
  </si>
  <si>
    <t xml:space="preserve">(8) KROLL, Cost of Capital Navigator. (2023). </t>
  </si>
  <si>
    <t>Mean</t>
  </si>
  <si>
    <t>Harmonic Mean</t>
  </si>
  <si>
    <t>A market to book ratio over one would be an indication of no obsolescence</t>
  </si>
  <si>
    <t>Mergent Rating</t>
  </si>
  <si>
    <t xml:space="preserve">S&amp;P Rating </t>
  </si>
  <si>
    <t>Corporate 4th Qtr Avg</t>
  </si>
  <si>
    <t>Utility 4th Qtr Avg</t>
  </si>
  <si>
    <t>S&amp;P Global Market Intelligence (9)</t>
  </si>
  <si>
    <t xml:space="preserve">(1) &amp; (2) Three Stage Dividend Growth Model, S&amp;P 500.  The Three Stage Ex Ante calculations were performed by Minnesota and Montana.  The Equity risk premiums are shown above.  </t>
  </si>
  <si>
    <t>(3) Implied Equity Risk Premium on January 5, 2023 as determined by Dr. Aswath Damodaran</t>
  </si>
  <si>
    <t>http://pages.stern.nyu.edu/~adamodar/New_Home_Page/datacurrent.html</t>
  </si>
  <si>
    <t>https://www.richmondfed.org/research/national_economy/cfo_survey</t>
  </si>
  <si>
    <t>https://papers.ssrn.com/sol3/papers.cfm?abstract_id=3803990</t>
  </si>
  <si>
    <t>https://www.bvresources.com/products/faqs/cost-of-capital-professional</t>
  </si>
  <si>
    <t xml:space="preserve">(9) S&amp;P Global Market Intelligence ( Jan. 2023). </t>
  </si>
  <si>
    <t>https://simplywall.st/stocks/us/transportation</t>
  </si>
  <si>
    <t>CAPM - S&amp;P Global Market</t>
  </si>
  <si>
    <t>Empirical CAPM - S&amp;P Global Market</t>
  </si>
  <si>
    <t>Electric Wholesale (non-regulated) Power Generator</t>
  </si>
  <si>
    <t>Damodaran Implied ERP Ex Ante   Trailing 12 mo Cash Yield (3)</t>
  </si>
  <si>
    <t>Damodaran Implied ERP Ex Ante   Net Cash Yield (3)</t>
  </si>
  <si>
    <t>Damodaran Implied ERP Ex Ante   Norm. Earnings &amp; Payout (3)</t>
  </si>
  <si>
    <t>KROLL Ex Post  - ERP Historical (8)</t>
  </si>
  <si>
    <t>KROLL Ex Post - ERP Supply Side (8)</t>
  </si>
  <si>
    <t>KROLL Ex Ante - ERP Conditional (8)</t>
  </si>
  <si>
    <t>CAPM - Ex Ante  Damodaran 12 Mo Cash Yield</t>
  </si>
  <si>
    <t>CAPM - Ex Ante  Damodaran Net Cash Yield</t>
  </si>
  <si>
    <t>CAPM - Ex Ante  Damodaran NEP</t>
  </si>
  <si>
    <t>CAPM - Ex Post KROLL ERP Historical</t>
  </si>
  <si>
    <t>CAPM - Ex Post KROLL ERP Supply Side</t>
  </si>
  <si>
    <t>CAPM - Ex Ante KROLL ERP Conditional</t>
  </si>
  <si>
    <t>Empirical CAPM - Ex Ante  Damodaran 12 Mo Cash Yield</t>
  </si>
  <si>
    <t>Empirical CAPM - Ex Ante  Damodaran Net Cash Yield</t>
  </si>
  <si>
    <t>Empirical CAPM - Ex Ante  Damodaran NEP</t>
  </si>
  <si>
    <t>Empirical CAPM - Ex Post KROLL ERP Historical</t>
  </si>
  <si>
    <t>Empirical CAPM - Ex Post KROLL ERP Supply Side</t>
  </si>
  <si>
    <t>Empirical CAPM - Ex Ante KROLL ERP Conditional</t>
  </si>
  <si>
    <t>P. Fernandez, T. Garcia de Santos &amp; J.F.Acin  (5)</t>
  </si>
  <si>
    <t>Damodaran Implied ERP Ex Ante   Avg CF Yield Last 10 Yrs (3)</t>
  </si>
  <si>
    <t xml:space="preserve">(5) Fernandez, P., Garcia de Santos, T., &amp; Acin, J. F. (2022). Survey: Market Risk Premium and Risk-Free Rate Used for 95 Countries in 2022. 1591 US ERP only respondents.  SSRN Electronic Journal. </t>
  </si>
  <si>
    <t xml:space="preserve">(4) The CFO Survey (2022). Data &amp; Results December 2, 2022. Mean average annual S&amp;P return over next ten years (8.5%) less annual yield on 10-year Treasury Bonds. </t>
  </si>
  <si>
    <t>CAPM - Ex Ante  Damodaran Avg CF Yield Last 10 Yrs</t>
  </si>
  <si>
    <t>Empirical CAPM - Ex Ante  Damodaran Avg CF Yield Last 10 Yrs</t>
  </si>
  <si>
    <t>Removed Nextera Energy from calculation</t>
  </si>
  <si>
    <t>The market yield on 30 yerar US Treasury  Dec 30, 2022</t>
  </si>
  <si>
    <t xml:space="preserve">Board of Governors of the Federal Reserve System, Economic projections of Federal Reserve Board members and Federal Reserve Bank presidents under their individual assessments of projected appropriate monetary policy. December 2022  </t>
  </si>
  <si>
    <t>https://www.federalreserve.gov/monetarypolicy/files/fomcprojtabl20221214.pdf</t>
  </si>
  <si>
    <t>World Bank Group Flagship Report, Global Economic Prospects. January 2023. Page 4.</t>
  </si>
  <si>
    <t>The Trading Economics projects the U.S. GDP annual growth rate for 2025</t>
  </si>
  <si>
    <t xml:space="preserve">Trading Economics, United States Full Year GDP Growth Rate Forecast  </t>
  </si>
  <si>
    <t xml:space="preserve">The Economist Intelligence Unit. July 21, 2022  </t>
  </si>
  <si>
    <t>http://country.eiu.com/article.aspx?articleid=1652314548&amp;Country=United+States&amp;topic=Economy&amp;subtopic=Long-term+outlook&amp;subsubtopic=Summary</t>
  </si>
  <si>
    <t>To calculate the inflation rate, compare the inflation-indexed securities to the non-inflation indexed securities. The difference between the securities (using the 10-year, 20-year, and 30- year constant securities) provides the inflation rate.</t>
  </si>
  <si>
    <t>Congressional Budget Office  Average % change Yr to Yr  2023-2033  (4)</t>
  </si>
  <si>
    <t>Federal Reserve Bank of Philadelphia  /Survey of Professional Forecasters  Mean (3)</t>
  </si>
  <si>
    <t xml:space="preserve">Congressional Budget Office Real Economic Projections (4)  </t>
  </si>
  <si>
    <t>(4)  Budget Office, The Budget and Economic Outlook: 2023 to 2033, Table 2-1  and 2023 to 2033, Table C-1  See bellow.</t>
  </si>
  <si>
    <t>https://www.cbo.gov/system/files/2021-02/56970-Outlook.p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</si>
</sst>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000_);_(* \(#,##0.0000\);_(* &quot;-&quot;??_);_(@_)"/>
    <numFmt numFmtId="167" formatCode="0.000"/>
    <numFmt numFmtId="168" formatCode="_(* #,##0.000_);_(* \(#,##0.000\);_(* &quot;-&quot;??_);_(@_)"/>
    <numFmt numFmtId="169" formatCode="0.000%"/>
    <numFmt numFmtId="170" formatCode="_(&quot;$&quot;* #,##0.0_);_(&quot;$&quot;* \(#,##0.0\);_(&quot;$&quot;* &quot;-&quot;??_);_(@_)"/>
  </numFmts>
  <fonts count="69">
    <font>
      <sz val="11"/>
      <color theme="1"/>
      <name val="Calibri"/>
      <family val="2"/>
      <scheme val="minor"/>
    </font>
    <font>
      <sz val="11"/>
      <color theme="1"/>
      <name val="Calibri"/>
      <family val="2"/>
      <scheme val="minor"/>
    </font>
    <font>
      <b/>
      <sz val="12"/>
      <color theme="1"/>
      <name val="Calibri"/>
      <family val="2"/>
      <scheme val="minor"/>
    </font>
    <font>
      <b/>
      <sz val="11"/>
      <color theme="1"/>
      <name val="Helvetica Narrow Bold"/>
      <family val="2"/>
    </font>
    <font>
      <sz val="12"/>
      <color theme="1"/>
      <name val="Calibri"/>
      <family val="2"/>
      <scheme val="minor"/>
    </font>
    <font>
      <b/>
      <sz val="14"/>
      <color theme="1"/>
      <name val="Calibri"/>
      <family val="2"/>
      <scheme val="minor"/>
    </font>
    <font>
      <sz val="14"/>
      <color theme="1"/>
      <name val="Calibri"/>
      <family val="2"/>
      <scheme val="minor"/>
    </font>
    <font>
      <b/>
      <sz val="22"/>
      <color theme="1"/>
      <name val="Georgia"/>
      <family val="1"/>
    </font>
    <font>
      <sz val="11"/>
      <color theme="1"/>
      <name val="Georgia"/>
      <family val="1"/>
    </font>
    <font>
      <b/>
      <i/>
      <sz val="22"/>
      <color theme="1"/>
      <name val="Georgia"/>
      <family val="1"/>
    </font>
    <font>
      <i/>
      <sz val="11"/>
      <color theme="1"/>
      <name val="Georgia"/>
      <family val="1"/>
    </font>
    <font>
      <b/>
      <sz val="11"/>
      <color theme="1"/>
      <name val="Palatino Roman"/>
      <family val="1"/>
    </font>
    <font>
      <sz val="11"/>
      <color theme="1"/>
      <name val="Palatino Roman"/>
      <family val="1"/>
    </font>
    <font>
      <b/>
      <sz val="11"/>
      <name val="Calibri"/>
      <family val="2"/>
      <scheme val="minor"/>
    </font>
    <font>
      <sz val="9"/>
      <color indexed="81"/>
      <name val="Tahoma"/>
      <family val="2"/>
    </font>
    <font>
      <b/>
      <sz val="9"/>
      <color indexed="81"/>
      <name val="Tahoma"/>
      <family val="2"/>
    </font>
    <font>
      <sz val="12"/>
      <name val="TIMES"/>
    </font>
    <font>
      <u/>
      <sz val="11"/>
      <color theme="10"/>
      <name val="Calibri"/>
      <family val="2"/>
      <scheme val="minor"/>
    </font>
    <font>
      <sz val="11"/>
      <color theme="1"/>
      <name val="Microsoft GothicNeo"/>
      <family val="2"/>
      <charset val="129"/>
    </font>
    <font>
      <sz val="11"/>
      <name val="Microsoft GothicNeo"/>
      <family val="2"/>
      <charset val="129"/>
    </font>
    <font>
      <b/>
      <sz val="11"/>
      <color theme="1"/>
      <name val="Microsoft GothicNeo"/>
      <family val="2"/>
      <charset val="129"/>
    </font>
    <font>
      <b/>
      <sz val="11"/>
      <name val="Microsoft GothicNeo"/>
      <family val="2"/>
      <charset val="129"/>
    </font>
    <font>
      <b/>
      <sz val="18"/>
      <color theme="1"/>
      <name val="Microsoft GothicNeo"/>
      <family val="2"/>
      <charset val="129"/>
    </font>
    <font>
      <b/>
      <sz val="16"/>
      <color theme="1"/>
      <name val="Microsoft GothicNeo"/>
      <family val="2"/>
      <charset val="129"/>
    </font>
    <font>
      <b/>
      <sz val="12"/>
      <color indexed="8"/>
      <name val="Microsoft GothicNeo"/>
      <family val="2"/>
      <charset val="129"/>
    </font>
    <font>
      <b/>
      <sz val="11"/>
      <color indexed="8"/>
      <name val="Microsoft GothicNeo"/>
      <family val="2"/>
      <charset val="129"/>
    </font>
    <font>
      <b/>
      <sz val="11"/>
      <color rgb="FFFF0000"/>
      <name val="Microsoft GothicNeo"/>
      <family val="2"/>
      <charset val="129"/>
    </font>
    <font>
      <b/>
      <sz val="14"/>
      <color theme="1"/>
      <name val="Microsoft GothicNeo"/>
      <family val="2"/>
      <charset val="129"/>
    </font>
    <font>
      <b/>
      <sz val="10"/>
      <color theme="1"/>
      <name val="Microsoft GothicNeo"/>
      <family val="2"/>
      <charset val="129"/>
    </font>
    <font>
      <sz val="9"/>
      <color theme="1"/>
      <name val="Microsoft GothicNeo"/>
      <family val="2"/>
      <charset val="129"/>
    </font>
    <font>
      <sz val="10"/>
      <color theme="1"/>
      <name val="Microsoft GothicNeo"/>
      <family val="2"/>
      <charset val="129"/>
    </font>
    <font>
      <i/>
      <sz val="9"/>
      <color theme="1"/>
      <name val="Microsoft GothicNeo"/>
      <family val="2"/>
      <charset val="129"/>
    </font>
    <font>
      <b/>
      <sz val="9"/>
      <color theme="1"/>
      <name val="Microsoft GothicNeo"/>
      <family val="2"/>
      <charset val="129"/>
    </font>
    <font>
      <b/>
      <sz val="12"/>
      <color theme="1"/>
      <name val="Microsoft GothicNeo"/>
      <family val="2"/>
      <charset val="129"/>
    </font>
    <font>
      <b/>
      <i/>
      <sz val="10"/>
      <color theme="1"/>
      <name val="Microsoft GothicNeo"/>
      <family val="2"/>
      <charset val="129"/>
    </font>
    <font>
      <sz val="16"/>
      <color theme="1"/>
      <name val="Microsoft GothicNeo"/>
      <family val="2"/>
      <charset val="129"/>
    </font>
    <font>
      <sz val="12"/>
      <color theme="1"/>
      <name val="Microsoft GothicNeo"/>
      <family val="2"/>
      <charset val="129"/>
    </font>
    <font>
      <b/>
      <sz val="12"/>
      <name val="Microsoft GothicNeo"/>
      <family val="2"/>
      <charset val="129"/>
    </font>
    <font>
      <b/>
      <i/>
      <u/>
      <sz val="11"/>
      <color theme="1"/>
      <name val="Microsoft GothicNeo"/>
      <family val="2"/>
      <charset val="129"/>
    </font>
    <font>
      <b/>
      <i/>
      <sz val="11"/>
      <color theme="1"/>
      <name val="Microsoft GothicNeo"/>
      <family val="2"/>
      <charset val="129"/>
    </font>
    <font>
      <i/>
      <sz val="10"/>
      <color theme="1"/>
      <name val="Microsoft GothicNeo"/>
      <family val="2"/>
      <charset val="129"/>
    </font>
    <font>
      <b/>
      <sz val="16"/>
      <name val="Microsoft GothicNeo"/>
      <family val="2"/>
      <charset val="129"/>
    </font>
    <font>
      <b/>
      <sz val="16"/>
      <color rgb="FFFF0000"/>
      <name val="Microsoft GothicNeo"/>
      <family val="2"/>
      <charset val="129"/>
    </font>
    <font>
      <i/>
      <sz val="11"/>
      <color theme="1"/>
      <name val="Microsoft GothicNeo"/>
      <family val="2"/>
      <charset val="129"/>
    </font>
    <font>
      <sz val="12"/>
      <color rgb="FFFF0000"/>
      <name val="Microsoft GothicNeo"/>
      <family val="2"/>
      <charset val="129"/>
    </font>
    <font>
      <b/>
      <sz val="14"/>
      <name val="Microsoft GothicNeo"/>
      <family val="2"/>
      <charset val="129"/>
    </font>
    <font>
      <u/>
      <sz val="11"/>
      <color theme="10"/>
      <name val="Microsoft GothicNeo"/>
      <family val="2"/>
      <charset val="129"/>
    </font>
    <font>
      <sz val="10"/>
      <name val="Microsoft GothicNeo"/>
      <family val="2"/>
      <charset val="129"/>
    </font>
    <font>
      <b/>
      <sz val="12"/>
      <color rgb="FFFF0000"/>
      <name val="Microsoft GothicNeo"/>
      <family val="2"/>
      <charset val="129"/>
    </font>
    <font>
      <b/>
      <sz val="14"/>
      <color rgb="FFFF0000"/>
      <name val="Microsoft GothicNeo"/>
      <family val="2"/>
      <charset val="129"/>
    </font>
    <font>
      <b/>
      <sz val="11"/>
      <color theme="1"/>
      <name val="Calibri"/>
      <family val="2"/>
      <scheme val="minor"/>
    </font>
    <font>
      <sz val="14"/>
      <color theme="1"/>
      <name val="Microsoft GothicNeo"/>
      <family val="2"/>
      <charset val="129"/>
    </font>
    <font>
      <sz val="11"/>
      <color rgb="FFFF0000"/>
      <name val="Microsoft GothicNeo"/>
      <family val="2"/>
      <charset val="129"/>
    </font>
    <font>
      <sz val="18"/>
      <color theme="1"/>
      <name val="Microsoft GothicNeo"/>
      <family val="2"/>
      <charset val="129"/>
    </font>
    <font>
      <sz val="20"/>
      <color theme="1"/>
      <name val="Microsoft GothicNeo"/>
      <family val="2"/>
      <charset val="129"/>
    </font>
    <font>
      <b/>
      <sz val="20"/>
      <color theme="1"/>
      <name val="Microsoft GothicNeo"/>
      <family val="2"/>
      <charset val="129"/>
    </font>
    <font>
      <b/>
      <sz val="11"/>
      <color indexed="81"/>
      <name val="Tahoma"/>
      <family val="2"/>
    </font>
    <font>
      <sz val="11"/>
      <color indexed="81"/>
      <name val="Tahoma"/>
      <family val="2"/>
    </font>
    <font>
      <sz val="12"/>
      <color rgb="FF000000"/>
      <name val="Microsoft GothicNeo"/>
      <family val="2"/>
      <charset val="129"/>
    </font>
    <font>
      <b/>
      <i/>
      <sz val="14"/>
      <color theme="1"/>
      <name val="Calibri"/>
      <family val="2"/>
      <scheme val="minor"/>
    </font>
    <font>
      <u/>
      <sz val="11"/>
      <color rgb="FF0000CC"/>
      <name val="Calibri"/>
      <family val="2"/>
      <scheme val="minor"/>
    </font>
    <font>
      <b/>
      <i/>
      <sz val="18"/>
      <color rgb="FF0000CC"/>
      <name val="Microsoft GothicNeo"/>
      <family val="2"/>
      <charset val="129"/>
    </font>
    <font>
      <b/>
      <sz val="11"/>
      <color theme="9" tint="-0.499984740745262"/>
      <name val="Microsoft GothicNeo"/>
      <family val="2"/>
      <charset val="129"/>
    </font>
    <font>
      <b/>
      <sz val="9"/>
      <name val="Microsoft GothicNeo"/>
      <family val="2"/>
      <charset val="129"/>
    </font>
    <font>
      <sz val="11"/>
      <name val="Calibri"/>
      <family val="2"/>
      <scheme val="minor"/>
    </font>
    <font>
      <b/>
      <sz val="20"/>
      <color theme="1"/>
      <name val="Calibri"/>
      <family val="2"/>
      <scheme val="minor"/>
    </font>
    <font>
      <sz val="20"/>
      <color theme="1"/>
      <name val="Calibri"/>
      <family val="2"/>
      <scheme val="minor"/>
    </font>
    <font>
      <b/>
      <sz val="14"/>
      <color theme="9" tint="-0.499984740745262"/>
      <name val="Microsoft GothicNeo"/>
      <family val="2"/>
      <charset val="129"/>
    </font>
    <font>
      <b/>
      <sz val="18"/>
      <name val="Microsoft GothicNeo"/>
      <family val="2"/>
      <charset val="129"/>
    </font>
  </fonts>
  <fills count="5">
    <fill>
      <patternFill patternType="none"/>
    </fill>
    <fill>
      <patternFill patternType="gray125"/>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42">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6" fillId="0" borderId="0"/>
    <xf numFmtId="0" fontId="16" fillId="0" borderId="0"/>
    <xf numFmtId="0" fontId="17" fillId="0" borderId="0" applyNumberFormat="0" applyFill="0" applyBorder="0" applyAlignment="0" applyProtection="0"/>
  </cellStyleXfs>
  <cellXfs count="450">
    <xf numFmtId="0" fontId="0" fillId="0" borderId="0" xfId="0"/>
    <xf numFmtId="0" fontId="2" fillId="0" borderId="0" xfId="0" applyFont="1"/>
    <xf numFmtId="0" fontId="3" fillId="0" borderId="0" xfId="0" applyFont="1"/>
    <xf numFmtId="164" fontId="3" fillId="0" borderId="0" xfId="1" applyNumberFormat="1" applyFont="1"/>
    <xf numFmtId="0" fontId="4" fillId="0" borderId="0" xfId="0" applyFont="1"/>
    <xf numFmtId="0" fontId="2"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3" fontId="2" fillId="0" borderId="0" xfId="0" applyNumberFormat="1" applyFont="1"/>
    <xf numFmtId="167" fontId="13" fillId="2" borderId="0" xfId="0" applyNumberFormat="1" applyFont="1" applyFill="1" applyAlignment="1">
      <alignment horizontal="center"/>
    </xf>
    <xf numFmtId="0" fontId="18" fillId="0" borderId="0" xfId="0" applyFont="1"/>
    <xf numFmtId="0" fontId="18" fillId="0" borderId="0" xfId="0" applyFont="1" applyAlignment="1">
      <alignment horizontal="center"/>
    </xf>
    <xf numFmtId="0" fontId="20" fillId="0" borderId="0" xfId="0" applyFont="1" applyAlignment="1">
      <alignment horizontal="right"/>
    </xf>
    <xf numFmtId="43" fontId="21" fillId="0" borderId="0" xfId="1" applyFont="1" applyAlignment="1">
      <alignment horizontal="right" vertical="center"/>
    </xf>
    <xf numFmtId="43" fontId="21" fillId="0" borderId="0" xfId="1" applyFont="1" applyFill="1" applyAlignment="1">
      <alignment horizontal="right" vertical="center"/>
    </xf>
    <xf numFmtId="43" fontId="20" fillId="0" borderId="0" xfId="1" applyFont="1" applyFill="1" applyAlignment="1">
      <alignment horizontal="right"/>
    </xf>
    <xf numFmtId="43" fontId="20" fillId="0" borderId="0" xfId="1" applyFont="1" applyFill="1" applyAlignment="1">
      <alignment horizontal="center"/>
    </xf>
    <xf numFmtId="43" fontId="20" fillId="0" borderId="0" xfId="1" applyFont="1" applyFill="1" applyAlignment="1">
      <alignment horizontal="center" vertical="center"/>
    </xf>
    <xf numFmtId="43" fontId="20" fillId="0" borderId="0" xfId="1" applyFont="1" applyFill="1" applyBorder="1" applyAlignment="1">
      <alignment horizontal="center" vertical="center"/>
    </xf>
    <xf numFmtId="43" fontId="20" fillId="0" borderId="0" xfId="1" applyFont="1" applyFill="1"/>
    <xf numFmtId="164" fontId="20" fillId="0" borderId="0" xfId="1" applyNumberFormat="1" applyFont="1" applyFill="1"/>
    <xf numFmtId="0" fontId="22" fillId="0" borderId="0" xfId="0" applyFont="1"/>
    <xf numFmtId="0" fontId="23" fillId="0" borderId="0" xfId="0" applyFont="1"/>
    <xf numFmtId="0" fontId="24" fillId="0" borderId="0" xfId="0" applyFont="1"/>
    <xf numFmtId="0" fontId="25" fillId="0" borderId="0" xfId="0" applyFont="1"/>
    <xf numFmtId="0" fontId="26" fillId="0" borderId="0" xfId="0" applyFont="1"/>
    <xf numFmtId="0" fontId="27" fillId="0" borderId="16" xfId="0" applyFont="1" applyBorder="1"/>
    <xf numFmtId="0" fontId="18" fillId="0" borderId="2" xfId="0" applyFont="1" applyBorder="1"/>
    <xf numFmtId="0" fontId="26" fillId="0" borderId="2" xfId="0" applyFont="1" applyBorder="1"/>
    <xf numFmtId="0" fontId="27" fillId="0" borderId="0" xfId="0" applyFont="1"/>
    <xf numFmtId="0" fontId="23" fillId="0" borderId="0" xfId="0" applyFont="1" applyAlignment="1">
      <alignment horizontal="center"/>
    </xf>
    <xf numFmtId="0" fontId="28" fillId="0" borderId="2" xfId="0" applyFont="1" applyBorder="1" applyAlignment="1">
      <alignment horizontal="center"/>
    </xf>
    <xf numFmtId="0" fontId="29" fillId="0" borderId="2" xfId="0" applyFont="1" applyBorder="1" applyAlignment="1">
      <alignment horizontal="center"/>
    </xf>
    <xf numFmtId="0" fontId="20" fillId="0" borderId="0" xfId="0" applyFont="1" applyAlignment="1">
      <alignment horizontal="center"/>
    </xf>
    <xf numFmtId="0" fontId="28" fillId="0" borderId="0" xfId="0" applyFont="1" applyAlignment="1">
      <alignment horizontal="center"/>
    </xf>
    <xf numFmtId="0" fontId="20" fillId="0" borderId="2" xfId="0" applyFont="1" applyBorder="1" applyAlignment="1">
      <alignment horizontal="center"/>
    </xf>
    <xf numFmtId="0" fontId="30" fillId="0" borderId="2" xfId="0" applyFont="1" applyBorder="1" applyAlignment="1">
      <alignment horizontal="center"/>
    </xf>
    <xf numFmtId="0" fontId="29" fillId="0" borderId="1" xfId="0" applyFont="1" applyBorder="1" applyAlignment="1">
      <alignment horizontal="center"/>
    </xf>
    <xf numFmtId="0" fontId="31" fillId="0" borderId="1" xfId="0" applyFont="1" applyBorder="1" applyAlignment="1">
      <alignment horizontal="center"/>
    </xf>
    <xf numFmtId="0" fontId="29" fillId="0" borderId="0" xfId="0" applyFont="1" applyAlignment="1">
      <alignment horizontal="center"/>
    </xf>
    <xf numFmtId="0" fontId="32" fillId="0" borderId="2" xfId="0" applyFont="1" applyBorder="1" applyAlignment="1">
      <alignment horizontal="center"/>
    </xf>
    <xf numFmtId="0" fontId="34" fillId="0" borderId="1" xfId="0" applyFont="1" applyBorder="1" applyAlignment="1">
      <alignment horizontal="center"/>
    </xf>
    <xf numFmtId="0" fontId="20" fillId="0" borderId="0" xfId="0" applyFont="1"/>
    <xf numFmtId="166" fontId="21" fillId="0" borderId="0" xfId="1" applyNumberFormat="1" applyFont="1" applyFill="1" applyAlignment="1">
      <alignment horizontal="center"/>
    </xf>
    <xf numFmtId="166" fontId="21" fillId="0" borderId="0" xfId="1" applyNumberFormat="1" applyFont="1" applyFill="1"/>
    <xf numFmtId="0" fontId="20" fillId="0" borderId="4" xfId="0" applyFont="1" applyBorder="1"/>
    <xf numFmtId="0" fontId="21" fillId="0" borderId="0" xfId="0" applyFont="1" applyAlignment="1">
      <alignment horizontal="center" vertical="center"/>
    </xf>
    <xf numFmtId="166" fontId="20" fillId="0" borderId="0" xfId="1" applyNumberFormat="1" applyFont="1" applyFill="1" applyAlignment="1">
      <alignment horizontal="center"/>
    </xf>
    <xf numFmtId="0" fontId="23" fillId="0" borderId="0" xfId="0" applyFont="1" applyAlignment="1">
      <alignment horizontal="right"/>
    </xf>
    <xf numFmtId="10" fontId="20" fillId="0" borderId="0" xfId="2" applyNumberFormat="1" applyFont="1" applyFill="1" applyAlignment="1">
      <alignment horizontal="center" vertical="center"/>
    </xf>
    <xf numFmtId="10" fontId="20" fillId="0" borderId="0" xfId="2" applyNumberFormat="1" applyFont="1" applyFill="1" applyBorder="1" applyAlignment="1">
      <alignment horizontal="center" vertical="center"/>
    </xf>
    <xf numFmtId="10" fontId="21" fillId="0" borderId="0" xfId="2" applyNumberFormat="1" applyFont="1" applyAlignment="1">
      <alignment horizontal="right" vertical="center"/>
    </xf>
    <xf numFmtId="10" fontId="21" fillId="0" borderId="0" xfId="2" applyNumberFormat="1" applyFont="1" applyFill="1" applyAlignment="1">
      <alignment horizontal="center" vertical="center"/>
    </xf>
    <xf numFmtId="10" fontId="21" fillId="0" borderId="0" xfId="2" applyNumberFormat="1" applyFont="1" applyFill="1" applyAlignment="1">
      <alignment horizontal="right"/>
    </xf>
    <xf numFmtId="10" fontId="20" fillId="0" borderId="0" xfId="2" applyNumberFormat="1" applyFont="1" applyFill="1" applyAlignment="1">
      <alignment horizontal="right"/>
    </xf>
    <xf numFmtId="10" fontId="20" fillId="0" borderId="0" xfId="2" applyNumberFormat="1" applyFont="1" applyFill="1" applyAlignment="1">
      <alignment horizontal="center"/>
    </xf>
    <xf numFmtId="10" fontId="20" fillId="0" borderId="0" xfId="2" applyNumberFormat="1" applyFont="1" applyFill="1"/>
    <xf numFmtId="0" fontId="18" fillId="3" borderId="20" xfId="0" applyFont="1" applyFill="1" applyBorder="1" applyAlignment="1">
      <alignment horizontal="center"/>
    </xf>
    <xf numFmtId="0" fontId="18" fillId="3" borderId="22" xfId="0" applyFont="1" applyFill="1" applyBorder="1" applyAlignment="1">
      <alignment horizontal="center"/>
    </xf>
    <xf numFmtId="2" fontId="37" fillId="0" borderId="0" xfId="0" applyNumberFormat="1" applyFont="1" applyAlignment="1">
      <alignment horizontal="center"/>
    </xf>
    <xf numFmtId="164" fontId="37" fillId="0" borderId="0" xfId="1" applyNumberFormat="1" applyFont="1" applyAlignment="1"/>
    <xf numFmtId="2" fontId="21" fillId="0" borderId="0" xfId="0" applyNumberFormat="1" applyFont="1" applyAlignment="1">
      <alignment horizontal="center"/>
    </xf>
    <xf numFmtId="0" fontId="33" fillId="0" borderId="0" xfId="0" applyFont="1"/>
    <xf numFmtId="43" fontId="23" fillId="0" borderId="0" xfId="1" applyFont="1" applyFill="1"/>
    <xf numFmtId="2" fontId="37" fillId="0" borderId="4" xfId="0" applyNumberFormat="1" applyFont="1" applyBorder="1" applyAlignment="1">
      <alignment horizontal="center"/>
    </xf>
    <xf numFmtId="10" fontId="21" fillId="0" borderId="0" xfId="2" applyNumberFormat="1" applyFont="1" applyFill="1" applyAlignment="1">
      <alignment horizontal="center"/>
    </xf>
    <xf numFmtId="0" fontId="18" fillId="0" borderId="2" xfId="0" applyFont="1" applyBorder="1" applyAlignment="1">
      <alignment horizontal="center"/>
    </xf>
    <xf numFmtId="0" fontId="30" fillId="0" borderId="17" xfId="0" applyFont="1" applyBorder="1" applyAlignment="1">
      <alignment horizontal="center"/>
    </xf>
    <xf numFmtId="0" fontId="23" fillId="0" borderId="0" xfId="0" applyFont="1" applyAlignment="1">
      <alignment horizontal="center" vertical="center"/>
    </xf>
    <xf numFmtId="2" fontId="20" fillId="0" borderId="0" xfId="0" applyNumberFormat="1" applyFont="1" applyAlignment="1">
      <alignment horizontal="center"/>
    </xf>
    <xf numFmtId="0" fontId="18" fillId="0" borderId="4" xfId="0" applyFont="1" applyBorder="1"/>
    <xf numFmtId="2" fontId="20" fillId="0" borderId="0" xfId="0" applyNumberFormat="1" applyFont="1" applyAlignment="1">
      <alignment horizontal="right"/>
    </xf>
    <xf numFmtId="10" fontId="20" fillId="0" borderId="0" xfId="0" applyNumberFormat="1" applyFont="1"/>
    <xf numFmtId="0" fontId="38" fillId="0" borderId="0" xfId="0" applyFont="1" applyAlignment="1">
      <alignment horizontal="center"/>
    </xf>
    <xf numFmtId="0" fontId="39" fillId="0" borderId="0" xfId="0" applyFont="1"/>
    <xf numFmtId="0" fontId="40" fillId="0" borderId="17" xfId="0" applyFont="1" applyBorder="1" applyAlignment="1">
      <alignment horizontal="center"/>
    </xf>
    <xf numFmtId="0" fontId="35" fillId="0" borderId="0" xfId="0" applyFont="1" applyAlignment="1">
      <alignment horizontal="right"/>
    </xf>
    <xf numFmtId="0" fontId="27" fillId="0" borderId="0" xfId="0" applyFont="1" applyAlignment="1">
      <alignment horizontal="center"/>
    </xf>
    <xf numFmtId="0" fontId="20" fillId="0" borderId="24" xfId="0" applyFont="1" applyBorder="1" applyAlignment="1">
      <alignment horizontal="center"/>
    </xf>
    <xf numFmtId="0" fontId="20" fillId="0" borderId="10" xfId="0" applyFont="1" applyBorder="1" applyAlignment="1">
      <alignment horizontal="center"/>
    </xf>
    <xf numFmtId="0" fontId="20" fillId="0" borderId="3" xfId="0" applyFont="1" applyBorder="1" applyAlignment="1">
      <alignment horizontal="center"/>
    </xf>
    <xf numFmtId="10" fontId="20" fillId="0" borderId="0" xfId="2" applyNumberFormat="1" applyFont="1"/>
    <xf numFmtId="10" fontId="20" fillId="0" borderId="0" xfId="1" applyNumberFormat="1" applyFont="1" applyFill="1"/>
    <xf numFmtId="10" fontId="42" fillId="0" borderId="0" xfId="2" applyNumberFormat="1" applyFont="1" applyFill="1" applyAlignment="1">
      <alignment horizontal="center"/>
    </xf>
    <xf numFmtId="164" fontId="20" fillId="0" borderId="0" xfId="1" applyNumberFormat="1" applyFont="1"/>
    <xf numFmtId="0" fontId="18" fillId="0" borderId="0" xfId="0" applyFont="1" applyAlignment="1">
      <alignment horizontal="left"/>
    </xf>
    <xf numFmtId="0" fontId="20" fillId="0" borderId="2" xfId="0" applyFont="1" applyBorder="1"/>
    <xf numFmtId="0" fontId="33" fillId="0" borderId="7" xfId="0" applyFont="1" applyBorder="1" applyAlignment="1">
      <alignment horizontal="center"/>
    </xf>
    <xf numFmtId="0" fontId="33" fillId="0" borderId="10" xfId="0" applyFont="1" applyBorder="1" applyAlignment="1">
      <alignment horizontal="center"/>
    </xf>
    <xf numFmtId="0" fontId="33" fillId="0" borderId="0" xfId="0" applyFont="1" applyAlignment="1">
      <alignment horizontal="center"/>
    </xf>
    <xf numFmtId="15" fontId="33" fillId="0" borderId="10" xfId="0" applyNumberFormat="1" applyFont="1" applyBorder="1" applyAlignment="1">
      <alignment horizontal="center"/>
    </xf>
    <xf numFmtId="15" fontId="33" fillId="0" borderId="0" xfId="0" applyNumberFormat="1" applyFont="1" applyAlignment="1">
      <alignment horizontal="center"/>
    </xf>
    <xf numFmtId="15" fontId="33" fillId="0" borderId="10" xfId="0" quotePrefix="1" applyNumberFormat="1" applyFont="1" applyBorder="1" applyAlignment="1">
      <alignment horizontal="center"/>
    </xf>
    <xf numFmtId="15" fontId="33" fillId="0" borderId="0" xfId="0" quotePrefix="1" applyNumberFormat="1" applyFont="1" applyAlignment="1">
      <alignment horizontal="center"/>
    </xf>
    <xf numFmtId="0" fontId="21" fillId="0" borderId="10" xfId="0" applyFont="1" applyBorder="1" applyAlignment="1">
      <alignment horizontal="center"/>
    </xf>
    <xf numFmtId="0" fontId="37" fillId="0" borderId="10" xfId="0" applyFont="1" applyBorder="1" applyAlignment="1">
      <alignment horizontal="center"/>
    </xf>
    <xf numFmtId="0" fontId="33" fillId="0" borderId="8" xfId="0" applyFont="1" applyBorder="1" applyAlignment="1">
      <alignment horizontal="center"/>
    </xf>
    <xf numFmtId="0" fontId="33" fillId="0" borderId="3" xfId="0" applyFont="1" applyBorder="1" applyAlignment="1">
      <alignment horizontal="center"/>
    </xf>
    <xf numFmtId="0" fontId="33" fillId="0" borderId="2" xfId="0" applyFont="1" applyBorder="1" applyAlignment="1">
      <alignment horizontal="center"/>
    </xf>
    <xf numFmtId="0" fontId="34" fillId="0" borderId="3" xfId="0" applyFont="1" applyBorder="1" applyAlignment="1">
      <alignment horizontal="center"/>
    </xf>
    <xf numFmtId="0" fontId="34" fillId="0" borderId="2" xfId="0" applyFont="1" applyBorder="1" applyAlignment="1">
      <alignment horizontal="center"/>
    </xf>
    <xf numFmtId="0" fontId="34" fillId="0" borderId="9" xfId="0" applyFont="1" applyBorder="1" applyAlignment="1">
      <alignment horizontal="center"/>
    </xf>
    <xf numFmtId="0" fontId="34" fillId="0" borderId="11" xfId="0" applyFont="1" applyBorder="1" applyAlignment="1">
      <alignment horizontal="center"/>
    </xf>
    <xf numFmtId="0" fontId="33" fillId="0" borderId="10" xfId="0" applyFont="1" applyBorder="1"/>
    <xf numFmtId="0" fontId="33" fillId="0" borderId="7" xfId="0" applyFont="1" applyBorder="1"/>
    <xf numFmtId="0" fontId="37" fillId="0" borderId="0" xfId="0" applyFont="1" applyAlignment="1">
      <alignment horizontal="center"/>
    </xf>
    <xf numFmtId="2" fontId="37" fillId="0" borderId="10" xfId="0" applyNumberFormat="1" applyFont="1" applyBorder="1" applyAlignment="1">
      <alignment horizontal="center"/>
    </xf>
    <xf numFmtId="0" fontId="37" fillId="0" borderId="7" xfId="0" applyFont="1" applyBorder="1"/>
    <xf numFmtId="0" fontId="33" fillId="0" borderId="8" xfId="0" applyFont="1" applyBorder="1"/>
    <xf numFmtId="3" fontId="37" fillId="0" borderId="2" xfId="0" applyNumberFormat="1" applyFont="1" applyBorder="1"/>
    <xf numFmtId="0" fontId="36" fillId="0" borderId="0" xfId="0" applyFont="1"/>
    <xf numFmtId="0" fontId="44" fillId="0" borderId="2" xfId="0" applyFont="1" applyBorder="1"/>
    <xf numFmtId="0" fontId="36" fillId="0" borderId="2" xfId="0" applyFont="1" applyBorder="1"/>
    <xf numFmtId="0" fontId="36" fillId="0" borderId="5" xfId="0" applyFont="1" applyBorder="1"/>
    <xf numFmtId="0" fontId="36" fillId="0" borderId="6" xfId="0" applyFont="1" applyBorder="1"/>
    <xf numFmtId="15" fontId="33" fillId="0" borderId="6" xfId="0" quotePrefix="1" applyNumberFormat="1" applyFont="1" applyBorder="1" applyAlignment="1">
      <alignment horizontal="center"/>
    </xf>
    <xf numFmtId="0" fontId="18" fillId="0" borderId="6" xfId="0" applyFont="1" applyBorder="1"/>
    <xf numFmtId="0" fontId="36" fillId="0" borderId="12" xfId="0" applyFont="1" applyBorder="1"/>
    <xf numFmtId="15" fontId="33" fillId="0" borderId="13" xfId="0" quotePrefix="1" applyNumberFormat="1" applyFont="1" applyBorder="1" applyAlignment="1">
      <alignment horizontal="center"/>
    </xf>
    <xf numFmtId="0" fontId="37" fillId="0" borderId="13" xfId="0" applyFont="1" applyBorder="1" applyAlignment="1">
      <alignment horizontal="center"/>
    </xf>
    <xf numFmtId="0" fontId="33" fillId="0" borderId="14" xfId="0" applyFont="1" applyBorder="1" applyAlignment="1">
      <alignment horizontal="center"/>
    </xf>
    <xf numFmtId="0" fontId="34" fillId="0" borderId="15" xfId="0" applyFont="1" applyBorder="1" applyAlignment="1">
      <alignment horizontal="center"/>
    </xf>
    <xf numFmtId="0" fontId="33" fillId="0" borderId="13" xfId="0" applyFont="1" applyBorder="1"/>
    <xf numFmtId="164" fontId="37" fillId="0" borderId="0" xfId="1" applyNumberFormat="1" applyFont="1" applyFill="1" applyBorder="1"/>
    <xf numFmtId="10" fontId="37" fillId="0" borderId="13" xfId="2" applyNumberFormat="1" applyFont="1" applyFill="1" applyBorder="1"/>
    <xf numFmtId="0" fontId="33" fillId="0" borderId="0" xfId="0" applyFont="1" applyAlignment="1">
      <alignment horizontal="right"/>
    </xf>
    <xf numFmtId="164" fontId="20" fillId="0" borderId="0" xfId="0" applyNumberFormat="1" applyFont="1"/>
    <xf numFmtId="10" fontId="33" fillId="0" borderId="0" xfId="0" applyNumberFormat="1" applyFont="1" applyAlignment="1">
      <alignment horizontal="right"/>
    </xf>
    <xf numFmtId="10" fontId="33" fillId="0" borderId="0" xfId="2" applyNumberFormat="1" applyFont="1" applyFill="1"/>
    <xf numFmtId="10" fontId="33" fillId="0" borderId="0" xfId="2" applyNumberFormat="1" applyFont="1"/>
    <xf numFmtId="2" fontId="18" fillId="0" borderId="0" xfId="0" applyNumberFormat="1" applyFont="1"/>
    <xf numFmtId="0" fontId="20" fillId="0" borderId="1" xfId="0" applyFont="1" applyBorder="1" applyAlignment="1">
      <alignment horizontal="center"/>
    </xf>
    <xf numFmtId="0" fontId="27" fillId="0" borderId="0" xfId="0" applyFont="1" applyAlignment="1">
      <alignment horizontal="right"/>
    </xf>
    <xf numFmtId="0" fontId="21" fillId="0" borderId="0" xfId="0" applyFont="1"/>
    <xf numFmtId="0" fontId="19" fillId="0" borderId="0" xfId="0" applyFont="1"/>
    <xf numFmtId="0" fontId="19" fillId="0" borderId="0" xfId="0" applyFont="1" applyAlignment="1">
      <alignment horizontal="left"/>
    </xf>
    <xf numFmtId="0" fontId="46" fillId="0" borderId="0" xfId="6" applyFont="1" applyFill="1" applyAlignment="1" applyProtection="1">
      <alignment horizontal="left" vertical="top"/>
    </xf>
    <xf numFmtId="0" fontId="19" fillId="0" borderId="0" xfId="0" applyFont="1" applyAlignment="1">
      <alignment horizontal="left" vertical="top"/>
    </xf>
    <xf numFmtId="0" fontId="46" fillId="0" borderId="0" xfId="6" applyFont="1" applyFill="1" applyAlignment="1" applyProtection="1"/>
    <xf numFmtId="0" fontId="19" fillId="0" borderId="0" xfId="0" applyFont="1" applyAlignment="1">
      <alignment vertical="top"/>
    </xf>
    <xf numFmtId="0" fontId="47" fillId="0" borderId="0" xfId="0" applyFont="1" applyAlignment="1">
      <alignment horizontal="left" vertical="top"/>
    </xf>
    <xf numFmtId="0" fontId="47" fillId="0" borderId="0" xfId="0" applyFont="1"/>
    <xf numFmtId="165" fontId="20" fillId="0" borderId="0" xfId="3" applyNumberFormat="1" applyFont="1" applyFill="1" applyAlignment="1">
      <alignment horizontal="center"/>
    </xf>
    <xf numFmtId="164" fontId="21" fillId="0" borderId="0" xfId="1" applyNumberFormat="1" applyFont="1" applyFill="1"/>
    <xf numFmtId="10" fontId="21" fillId="0" borderId="0" xfId="2" applyNumberFormat="1" applyFont="1" applyFill="1"/>
    <xf numFmtId="0" fontId="27" fillId="0" borderId="2" xfId="0" applyFont="1" applyBorder="1" applyAlignment="1">
      <alignment horizontal="center"/>
    </xf>
    <xf numFmtId="10" fontId="37" fillId="0" borderId="0" xfId="2" applyNumberFormat="1" applyFont="1" applyFill="1" applyAlignment="1">
      <alignment horizontal="center"/>
    </xf>
    <xf numFmtId="10" fontId="37" fillId="0" borderId="0" xfId="2" applyNumberFormat="1" applyFont="1" applyFill="1"/>
    <xf numFmtId="2" fontId="48" fillId="0" borderId="0" xfId="0" applyNumberFormat="1" applyFont="1" applyAlignment="1">
      <alignment horizontal="center"/>
    </xf>
    <xf numFmtId="2" fontId="33" fillId="0" borderId="2" xfId="0" applyNumberFormat="1" applyFont="1" applyBorder="1" applyAlignment="1">
      <alignment horizontal="center"/>
    </xf>
    <xf numFmtId="10" fontId="33" fillId="0" borderId="2" xfId="2" applyNumberFormat="1" applyFont="1" applyBorder="1"/>
    <xf numFmtId="10" fontId="33" fillId="0" borderId="0" xfId="0" applyNumberFormat="1" applyFont="1" applyAlignment="1">
      <alignment horizontal="center"/>
    </xf>
    <xf numFmtId="2" fontId="33" fillId="0" borderId="0" xfId="0" applyNumberFormat="1" applyFont="1" applyAlignment="1">
      <alignment horizontal="center"/>
    </xf>
    <xf numFmtId="0" fontId="37" fillId="0" borderId="0" xfId="0" applyFont="1"/>
    <xf numFmtId="0" fontId="33" fillId="0" borderId="0" xfId="0" applyFont="1" applyAlignment="1">
      <alignment horizontal="left"/>
    </xf>
    <xf numFmtId="10" fontId="18" fillId="0" borderId="0" xfId="0" applyNumberFormat="1" applyFont="1"/>
    <xf numFmtId="0" fontId="17" fillId="0" borderId="0" xfId="6"/>
    <xf numFmtId="0" fontId="20" fillId="0" borderId="0" xfId="0" applyFont="1" applyAlignment="1">
      <alignment horizontal="left"/>
    </xf>
    <xf numFmtId="0" fontId="49" fillId="0" borderId="2" xfId="0" applyFont="1" applyBorder="1"/>
    <xf numFmtId="0" fontId="0" fillId="0" borderId="2" xfId="0" applyBorder="1"/>
    <xf numFmtId="0" fontId="27" fillId="0" borderId="2" xfId="0" applyFont="1" applyBorder="1"/>
    <xf numFmtId="0" fontId="18" fillId="0" borderId="5" xfId="0" applyFont="1" applyBorder="1"/>
    <xf numFmtId="0" fontId="18" fillId="0" borderId="12" xfId="0" applyFont="1" applyBorder="1"/>
    <xf numFmtId="0" fontId="20" fillId="0" borderId="8" xfId="0" applyFont="1" applyBorder="1" applyAlignment="1">
      <alignment horizontal="center" vertical="center"/>
    </xf>
    <xf numFmtId="0" fontId="27" fillId="0" borderId="34" xfId="0" applyFont="1" applyBorder="1" applyAlignment="1">
      <alignment horizontal="center" vertical="center" wrapText="1"/>
    </xf>
    <xf numFmtId="0" fontId="27" fillId="0" borderId="16" xfId="0" applyFont="1" applyBorder="1" applyAlignment="1">
      <alignment horizontal="center" vertical="center"/>
    </xf>
    <xf numFmtId="0" fontId="27" fillId="0" borderId="16" xfId="0" applyFont="1" applyBorder="1" applyAlignment="1">
      <alignment horizontal="center" vertical="center" wrapText="1"/>
    </xf>
    <xf numFmtId="0" fontId="27" fillId="0" borderId="32" xfId="0" applyFont="1" applyBorder="1" applyAlignment="1">
      <alignment horizontal="center" vertical="center"/>
    </xf>
    <xf numFmtId="0" fontId="33" fillId="0" borderId="16" xfId="0" applyFont="1" applyBorder="1" applyAlignment="1">
      <alignment horizontal="center" vertical="center"/>
    </xf>
    <xf numFmtId="0" fontId="50" fillId="0" borderId="0" xfId="0" applyFont="1"/>
    <xf numFmtId="0" fontId="27" fillId="0" borderId="7" xfId="0" applyFont="1" applyBorder="1" applyAlignment="1">
      <alignment horizontal="center" vertical="center"/>
    </xf>
    <xf numFmtId="10" fontId="27" fillId="0" borderId="2" xfId="2" applyNumberFormat="1" applyFont="1" applyBorder="1" applyAlignment="1">
      <alignment horizontal="center" vertical="center"/>
    </xf>
    <xf numFmtId="0" fontId="33" fillId="0" borderId="2" xfId="0" applyFont="1" applyBorder="1" applyAlignment="1">
      <alignment horizontal="center" vertical="center"/>
    </xf>
    <xf numFmtId="0" fontId="49" fillId="0" borderId="33" xfId="0" applyFont="1" applyBorder="1"/>
    <xf numFmtId="0" fontId="18" fillId="0" borderId="27" xfId="0" applyFont="1" applyBorder="1"/>
    <xf numFmtId="0" fontId="18" fillId="0" borderId="26" xfId="0" applyFont="1" applyBorder="1"/>
    <xf numFmtId="0" fontId="33" fillId="0" borderId="29" xfId="0" applyFont="1" applyBorder="1"/>
    <xf numFmtId="0" fontId="33" fillId="0" borderId="31" xfId="0" applyFont="1" applyBorder="1"/>
    <xf numFmtId="10" fontId="37" fillId="0" borderId="25" xfId="2" applyNumberFormat="1" applyFont="1" applyFill="1" applyBorder="1" applyAlignment="1">
      <alignment horizontal="center"/>
    </xf>
    <xf numFmtId="0" fontId="33" fillId="0" borderId="20" xfId="0" applyFont="1" applyBorder="1"/>
    <xf numFmtId="10" fontId="37" fillId="0" borderId="26" xfId="2" applyNumberFormat="1" applyFont="1" applyFill="1" applyBorder="1" applyAlignment="1">
      <alignment horizontal="center"/>
    </xf>
    <xf numFmtId="0" fontId="33" fillId="0" borderId="22" xfId="0" applyFont="1" applyBorder="1"/>
    <xf numFmtId="0" fontId="33" fillId="0" borderId="1" xfId="0" applyFont="1" applyBorder="1"/>
    <xf numFmtId="10" fontId="37" fillId="0" borderId="27" xfId="2" applyNumberFormat="1" applyFont="1" applyFill="1" applyBorder="1" applyAlignment="1">
      <alignment horizontal="center"/>
    </xf>
    <xf numFmtId="10" fontId="37" fillId="0" borderId="26" xfId="2" applyNumberFormat="1" applyFont="1" applyBorder="1" applyAlignment="1">
      <alignment horizontal="center" vertical="center"/>
    </xf>
    <xf numFmtId="10" fontId="33" fillId="0" borderId="25" xfId="2" applyNumberFormat="1" applyFont="1" applyFill="1" applyBorder="1" applyAlignment="1">
      <alignment horizontal="center"/>
    </xf>
    <xf numFmtId="10" fontId="33" fillId="0" borderId="27" xfId="2" applyNumberFormat="1" applyFont="1" applyFill="1" applyBorder="1" applyAlignment="1">
      <alignment horizontal="center"/>
    </xf>
    <xf numFmtId="10" fontId="37" fillId="0" borderId="0" xfId="2" applyNumberFormat="1" applyFont="1" applyAlignment="1">
      <alignment horizontal="right" vertical="center"/>
    </xf>
    <xf numFmtId="10" fontId="33" fillId="0" borderId="0" xfId="2" applyNumberFormat="1" applyFont="1" applyFill="1" applyAlignment="1">
      <alignment horizontal="right"/>
    </xf>
    <xf numFmtId="43" fontId="33" fillId="0" borderId="0" xfId="1" applyFont="1" applyFill="1" applyAlignment="1">
      <alignment horizontal="right"/>
    </xf>
    <xf numFmtId="43" fontId="33" fillId="0" borderId="0" xfId="1" applyFont="1" applyFill="1"/>
    <xf numFmtId="0" fontId="33" fillId="0" borderId="0" xfId="0" applyFont="1" applyAlignment="1">
      <alignment horizontal="center" vertical="center"/>
    </xf>
    <xf numFmtId="0" fontId="21" fillId="0" borderId="25" xfId="0" applyFont="1" applyBorder="1" applyAlignment="1">
      <alignment horizontal="center"/>
    </xf>
    <xf numFmtId="0" fontId="21" fillId="0" borderId="27" xfId="0" applyFont="1" applyBorder="1" applyAlignment="1">
      <alignment horizontal="center"/>
    </xf>
    <xf numFmtId="44" fontId="37" fillId="0" borderId="0" xfId="3" applyFont="1" applyAlignment="1">
      <alignment horizontal="center"/>
    </xf>
    <xf numFmtId="165" fontId="20" fillId="0" borderId="0" xfId="0" applyNumberFormat="1" applyFont="1" applyAlignment="1">
      <alignment horizontal="center"/>
    </xf>
    <xf numFmtId="0" fontId="28" fillId="0" borderId="0" xfId="0" applyFont="1"/>
    <xf numFmtId="0" fontId="20" fillId="0" borderId="0" xfId="0" applyFont="1" applyAlignment="1">
      <alignment horizontal="right" vertical="center"/>
    </xf>
    <xf numFmtId="0" fontId="43" fillId="0" borderId="0" xfId="0" applyFont="1"/>
    <xf numFmtId="10" fontId="37" fillId="0" borderId="16" xfId="2" applyNumberFormat="1" applyFont="1" applyFill="1" applyBorder="1"/>
    <xf numFmtId="0" fontId="18" fillId="0" borderId="32" xfId="0" applyFont="1" applyBorder="1"/>
    <xf numFmtId="0" fontId="23" fillId="0" borderId="34" xfId="0" applyFont="1" applyBorder="1" applyAlignment="1">
      <alignment horizontal="right"/>
    </xf>
    <xf numFmtId="0" fontId="22" fillId="0" borderId="32" xfId="0" applyFont="1" applyBorder="1"/>
    <xf numFmtId="0" fontId="22" fillId="0" borderId="34" xfId="0" applyFont="1" applyBorder="1" applyAlignment="1">
      <alignment horizontal="right"/>
    </xf>
    <xf numFmtId="0" fontId="22" fillId="0" borderId="34" xfId="0" applyFont="1" applyBorder="1"/>
    <xf numFmtId="0" fontId="18" fillId="0" borderId="34" xfId="0" applyFont="1" applyBorder="1"/>
    <xf numFmtId="0" fontId="33" fillId="0" borderId="7" xfId="0" applyFont="1" applyBorder="1" applyAlignment="1">
      <alignment horizontal="center" vertical="center"/>
    </xf>
    <xf numFmtId="10" fontId="33" fillId="0" borderId="0" xfId="2" applyNumberFormat="1" applyFont="1" applyBorder="1" applyAlignment="1">
      <alignment horizontal="center" vertical="center"/>
    </xf>
    <xf numFmtId="10" fontId="33" fillId="0" borderId="13" xfId="2" applyNumberFormat="1" applyFont="1" applyBorder="1" applyAlignment="1">
      <alignment horizontal="center" vertical="center"/>
    </xf>
    <xf numFmtId="0" fontId="36" fillId="0" borderId="7" xfId="0" applyFont="1" applyBorder="1"/>
    <xf numFmtId="0" fontId="36" fillId="0" borderId="13" xfId="0" applyFont="1" applyBorder="1"/>
    <xf numFmtId="0" fontId="23" fillId="0" borderId="16" xfId="0" applyFont="1" applyBorder="1" applyAlignment="1">
      <alignment horizontal="center" vertical="center"/>
    </xf>
    <xf numFmtId="0" fontId="52" fillId="0" borderId="0" xfId="0" applyFont="1"/>
    <xf numFmtId="0" fontId="26" fillId="0" borderId="0" xfId="0" applyFont="1" applyAlignment="1">
      <alignment horizontal="center"/>
    </xf>
    <xf numFmtId="0" fontId="23" fillId="0" borderId="16" xfId="0" applyFont="1" applyBorder="1" applyAlignment="1">
      <alignment horizontal="right"/>
    </xf>
    <xf numFmtId="2" fontId="33" fillId="0" borderId="16" xfId="0" applyNumberFormat="1" applyFont="1" applyBorder="1" applyAlignment="1">
      <alignment horizontal="center"/>
    </xf>
    <xf numFmtId="43" fontId="33" fillId="0" borderId="0" xfId="1" applyFont="1" applyBorder="1" applyAlignment="1">
      <alignment horizontal="center" vertical="center"/>
    </xf>
    <xf numFmtId="43" fontId="33" fillId="0" borderId="0" xfId="1" applyFont="1" applyBorder="1" applyAlignment="1">
      <alignment vertical="center"/>
    </xf>
    <xf numFmtId="10" fontId="33" fillId="0" borderId="0" xfId="2" applyNumberFormat="1" applyFont="1" applyBorder="1" applyAlignment="1">
      <alignment vertical="center"/>
    </xf>
    <xf numFmtId="10" fontId="0" fillId="0" borderId="0" xfId="2" applyNumberFormat="1" applyFont="1"/>
    <xf numFmtId="10" fontId="33" fillId="0" borderId="0" xfId="2" applyNumberFormat="1" applyFont="1" applyFill="1" applyBorder="1" applyAlignment="1">
      <alignment horizontal="center" vertical="center"/>
    </xf>
    <xf numFmtId="0" fontId="33" fillId="0" borderId="30" xfId="0" applyFont="1" applyBorder="1"/>
    <xf numFmtId="0" fontId="33" fillId="0" borderId="21" xfId="0" applyFont="1" applyBorder="1"/>
    <xf numFmtId="0" fontId="33" fillId="0" borderId="23" xfId="0" applyFont="1" applyBorder="1"/>
    <xf numFmtId="10" fontId="37" fillId="3" borderId="26" xfId="2" applyNumberFormat="1" applyFont="1" applyFill="1" applyBorder="1" applyAlignment="1">
      <alignment horizontal="center"/>
    </xf>
    <xf numFmtId="10" fontId="37" fillId="4" borderId="27" xfId="2" applyNumberFormat="1" applyFont="1" applyFill="1" applyBorder="1" applyAlignment="1">
      <alignment horizontal="center"/>
    </xf>
    <xf numFmtId="0" fontId="18" fillId="0" borderId="24" xfId="0" applyFont="1" applyBorder="1"/>
    <xf numFmtId="10" fontId="27" fillId="0" borderId="3" xfId="2" applyNumberFormat="1" applyFont="1" applyBorder="1" applyAlignment="1">
      <alignment horizontal="center" vertical="center"/>
    </xf>
    <xf numFmtId="10" fontId="22" fillId="0" borderId="0" xfId="2" applyNumberFormat="1" applyFont="1" applyAlignment="1">
      <alignment horizontal="center"/>
    </xf>
    <xf numFmtId="0" fontId="53" fillId="0" borderId="0" xfId="0" applyFont="1"/>
    <xf numFmtId="0" fontId="30" fillId="0" borderId="0" xfId="0" applyFont="1"/>
    <xf numFmtId="164" fontId="20" fillId="0" borderId="0" xfId="1" applyNumberFormat="1" applyFont="1" applyFill="1" applyAlignment="1">
      <alignment horizontal="center"/>
    </xf>
    <xf numFmtId="164" fontId="20" fillId="0" borderId="0" xfId="1" applyNumberFormat="1" applyFont="1" applyFill="1" applyAlignment="1"/>
    <xf numFmtId="2" fontId="23" fillId="0" borderId="16" xfId="0" applyNumberFormat="1" applyFont="1" applyBorder="1" applyAlignment="1">
      <alignment horizontal="center" vertical="center"/>
    </xf>
    <xf numFmtId="10" fontId="23" fillId="0" borderId="16" xfId="2" applyNumberFormat="1" applyFont="1" applyBorder="1" applyAlignment="1">
      <alignment horizontal="center" vertical="center"/>
    </xf>
    <xf numFmtId="10" fontId="37" fillId="0" borderId="27" xfId="2" applyNumberFormat="1" applyFont="1" applyBorder="1" applyAlignment="1">
      <alignment horizontal="center" vertical="center"/>
    </xf>
    <xf numFmtId="0" fontId="20" fillId="0" borderId="0" xfId="0" applyFont="1" applyAlignment="1">
      <alignment horizontal="center" vertical="center"/>
    </xf>
    <xf numFmtId="10" fontId="27" fillId="0" borderId="0" xfId="2" applyNumberFormat="1" applyFont="1" applyBorder="1" applyAlignment="1">
      <alignment horizontal="center" vertical="center"/>
    </xf>
    <xf numFmtId="0" fontId="27" fillId="0" borderId="8" xfId="0" applyFont="1" applyBorder="1" applyAlignment="1">
      <alignment horizontal="right" vertical="center"/>
    </xf>
    <xf numFmtId="0" fontId="29" fillId="0" borderId="17" xfId="0" applyFont="1" applyBorder="1" applyAlignment="1">
      <alignment horizontal="center"/>
    </xf>
    <xf numFmtId="10" fontId="20" fillId="0" borderId="0" xfId="0" applyNumberFormat="1" applyFont="1" applyAlignment="1">
      <alignment horizontal="center"/>
    </xf>
    <xf numFmtId="0" fontId="20" fillId="0" borderId="2" xfId="0" quotePrefix="1" applyFont="1" applyBorder="1" applyAlignment="1">
      <alignment horizontal="center"/>
    </xf>
    <xf numFmtId="0" fontId="6" fillId="0" borderId="0" xfId="0" applyFont="1"/>
    <xf numFmtId="0" fontId="54" fillId="0" borderId="0" xfId="0" applyFont="1" applyAlignment="1">
      <alignment horizontal="center"/>
    </xf>
    <xf numFmtId="0" fontId="36" fillId="0" borderId="0" xfId="0" applyFont="1" applyAlignment="1">
      <alignment horizontal="left"/>
    </xf>
    <xf numFmtId="0" fontId="51" fillId="0" borderId="0" xfId="0" applyFont="1" applyAlignment="1">
      <alignment horizontal="left"/>
    </xf>
    <xf numFmtId="0" fontId="55" fillId="0" borderId="0" xfId="0" applyFont="1"/>
    <xf numFmtId="0" fontId="36" fillId="0" borderId="0" xfId="0" applyFont="1" applyAlignment="1">
      <alignment horizontal="right"/>
    </xf>
    <xf numFmtId="0" fontId="36" fillId="0" borderId="2" xfId="0" applyFont="1" applyBorder="1" applyAlignment="1">
      <alignment horizontal="center"/>
    </xf>
    <xf numFmtId="0" fontId="51" fillId="0" borderId="0" xfId="0" applyFont="1"/>
    <xf numFmtId="10" fontId="27" fillId="0" borderId="10" xfId="2" applyNumberFormat="1" applyFont="1" applyFill="1" applyBorder="1" applyAlignment="1">
      <alignment horizontal="center" vertical="center"/>
    </xf>
    <xf numFmtId="168" fontId="37" fillId="0" borderId="16" xfId="1" applyNumberFormat="1" applyFont="1" applyFill="1" applyBorder="1"/>
    <xf numFmtId="15" fontId="33" fillId="0" borderId="24" xfId="0" applyNumberFormat="1" applyFont="1" applyBorder="1" applyAlignment="1">
      <alignment horizontal="center"/>
    </xf>
    <xf numFmtId="15" fontId="33" fillId="0" borderId="12" xfId="0" applyNumberFormat="1" applyFont="1" applyBorder="1" applyAlignment="1">
      <alignment horizontal="center"/>
    </xf>
    <xf numFmtId="15" fontId="33" fillId="0" borderId="13" xfId="0" applyNumberFormat="1" applyFont="1" applyBorder="1" applyAlignment="1">
      <alignment horizontal="center"/>
    </xf>
    <xf numFmtId="0" fontId="33" fillId="0" borderId="13" xfId="0" applyFont="1" applyBorder="1" applyAlignment="1">
      <alignment horizontal="center"/>
    </xf>
    <xf numFmtId="0" fontId="50" fillId="0" borderId="0" xfId="0" applyFont="1" applyAlignment="1">
      <alignment horizontal="center" vertical="center"/>
    </xf>
    <xf numFmtId="0" fontId="50" fillId="0" borderId="1" xfId="0" applyFont="1" applyBorder="1" applyAlignment="1">
      <alignment horizontal="center" vertical="center"/>
    </xf>
    <xf numFmtId="0" fontId="0" fillId="0" borderId="1" xfId="0" applyBorder="1"/>
    <xf numFmtId="0" fontId="33" fillId="0" borderId="1" xfId="0" applyFont="1" applyBorder="1" applyAlignment="1">
      <alignment horizontal="center"/>
    </xf>
    <xf numFmtId="10" fontId="37" fillId="0" borderId="1" xfId="2" applyNumberFormat="1" applyFont="1" applyFill="1" applyBorder="1" applyAlignment="1">
      <alignment horizontal="center"/>
    </xf>
    <xf numFmtId="43" fontId="37" fillId="0" borderId="1" xfId="1" applyFont="1" applyFill="1" applyBorder="1" applyAlignment="1">
      <alignment horizontal="center"/>
    </xf>
    <xf numFmtId="43" fontId="37" fillId="0" borderId="0" xfId="1" applyFont="1" applyAlignment="1">
      <alignment horizontal="center"/>
    </xf>
    <xf numFmtId="43" fontId="37" fillId="0" borderId="0" xfId="1" applyFont="1" applyFill="1" applyAlignment="1">
      <alignment horizontal="center"/>
    </xf>
    <xf numFmtId="0" fontId="50" fillId="0" borderId="0" xfId="0" applyFont="1" applyAlignment="1">
      <alignment horizontal="right"/>
    </xf>
    <xf numFmtId="2" fontId="50" fillId="0" borderId="0" xfId="0" applyNumberFormat="1" applyFont="1"/>
    <xf numFmtId="0" fontId="33" fillId="0" borderId="5" xfId="0" applyFont="1" applyBorder="1" applyAlignment="1">
      <alignment horizontal="center"/>
    </xf>
    <xf numFmtId="0" fontId="33" fillId="0" borderId="24" xfId="0" applyFont="1" applyBorder="1" applyAlignment="1">
      <alignment horizontal="center"/>
    </xf>
    <xf numFmtId="0" fontId="33" fillId="0" borderId="6" xfId="0" applyFont="1" applyBorder="1" applyAlignment="1">
      <alignment horizontal="center"/>
    </xf>
    <xf numFmtId="164" fontId="37" fillId="0" borderId="10" xfId="1" applyNumberFormat="1" applyFont="1" applyFill="1" applyBorder="1" applyAlignment="1">
      <alignment horizontal="center"/>
    </xf>
    <xf numFmtId="164" fontId="37" fillId="0" borderId="3" xfId="1" applyNumberFormat="1" applyFont="1" applyFill="1" applyBorder="1" applyAlignment="1">
      <alignment horizontal="center"/>
    </xf>
    <xf numFmtId="164" fontId="37" fillId="0" borderId="13" xfId="1" applyNumberFormat="1" applyFont="1" applyFill="1" applyBorder="1" applyAlignment="1">
      <alignment horizontal="center"/>
    </xf>
    <xf numFmtId="0" fontId="21" fillId="0" borderId="0" xfId="0" applyFont="1" applyAlignment="1">
      <alignment horizontal="center"/>
    </xf>
    <xf numFmtId="10" fontId="37" fillId="0" borderId="0" xfId="2" applyNumberFormat="1" applyFont="1" applyFill="1" applyBorder="1" applyAlignment="1">
      <alignment horizontal="center"/>
    </xf>
    <xf numFmtId="10" fontId="37" fillId="0" borderId="0" xfId="2" applyNumberFormat="1" applyFont="1" applyBorder="1" applyAlignment="1">
      <alignment horizontal="center" vertical="center"/>
    </xf>
    <xf numFmtId="10" fontId="27" fillId="0" borderId="3" xfId="2" applyNumberFormat="1" applyFont="1" applyFill="1" applyBorder="1" applyAlignment="1">
      <alignment horizontal="center" vertical="center"/>
    </xf>
    <xf numFmtId="0" fontId="23" fillId="0" borderId="19" xfId="0" applyFont="1" applyBorder="1" applyAlignment="1">
      <alignment horizontal="center" vertical="center"/>
    </xf>
    <xf numFmtId="0" fontId="27" fillId="0" borderId="32" xfId="0" applyFont="1" applyBorder="1"/>
    <xf numFmtId="0" fontId="18" fillId="0" borderId="33" xfId="0" applyFont="1" applyBorder="1"/>
    <xf numFmtId="0" fontId="33" fillId="0" borderId="32" xfId="0" applyFont="1" applyBorder="1"/>
    <xf numFmtId="0" fontId="33" fillId="4" borderId="20" xfId="0" applyFont="1" applyFill="1" applyBorder="1"/>
    <xf numFmtId="0" fontId="37" fillId="3" borderId="20" xfId="0" applyFont="1" applyFill="1" applyBorder="1"/>
    <xf numFmtId="0" fontId="33" fillId="0" borderId="32" xfId="0" applyFont="1" applyBorder="1" applyAlignment="1">
      <alignment horizontal="right"/>
    </xf>
    <xf numFmtId="43" fontId="33" fillId="0" borderId="0" xfId="0" applyNumberFormat="1" applyFont="1"/>
    <xf numFmtId="0" fontId="34" fillId="0" borderId="35" xfId="0" applyFont="1" applyBorder="1" applyAlignment="1">
      <alignment horizontal="center"/>
    </xf>
    <xf numFmtId="0" fontId="34" fillId="0" borderId="36" xfId="0" applyFont="1" applyBorder="1" applyAlignment="1">
      <alignment horizontal="center"/>
    </xf>
    <xf numFmtId="0" fontId="34" fillId="0" borderId="37" xfId="0" applyFont="1" applyBorder="1" applyAlignment="1">
      <alignment horizontal="center"/>
    </xf>
    <xf numFmtId="0" fontId="58" fillId="0" borderId="0" xfId="0" applyFont="1" applyAlignment="1">
      <alignment horizontal="left" vertical="top" wrapText="1"/>
    </xf>
    <xf numFmtId="0" fontId="27" fillId="0" borderId="28" xfId="0" applyFont="1" applyBorder="1" applyAlignment="1">
      <alignment horizontal="center"/>
    </xf>
    <xf numFmtId="0" fontId="36" fillId="3" borderId="26" xfId="0" applyFont="1" applyFill="1" applyBorder="1" applyAlignment="1">
      <alignment horizontal="center"/>
    </xf>
    <xf numFmtId="0" fontId="18" fillId="3" borderId="26" xfId="0" applyFont="1" applyFill="1" applyBorder="1" applyAlignment="1">
      <alignment horizontal="center"/>
    </xf>
    <xf numFmtId="0" fontId="36" fillId="3" borderId="27" xfId="0" applyFont="1" applyFill="1" applyBorder="1" applyAlignment="1">
      <alignment horizontal="center"/>
    </xf>
    <xf numFmtId="0" fontId="18" fillId="3" borderId="27" xfId="0" applyFont="1" applyFill="1" applyBorder="1" applyAlignment="1">
      <alignment horizontal="center"/>
    </xf>
    <xf numFmtId="0" fontId="18" fillId="3" borderId="29" xfId="0" applyFont="1" applyFill="1" applyBorder="1" applyAlignment="1">
      <alignment horizontal="center"/>
    </xf>
    <xf numFmtId="0" fontId="36" fillId="3" borderId="25" xfId="0" applyFont="1" applyFill="1" applyBorder="1" applyAlignment="1">
      <alignment horizontal="center"/>
    </xf>
    <xf numFmtId="0" fontId="18" fillId="3" borderId="30" xfId="0" applyFont="1" applyFill="1" applyBorder="1" applyAlignment="1">
      <alignment horizontal="center"/>
    </xf>
    <xf numFmtId="0" fontId="18" fillId="3" borderId="21" xfId="0" applyFont="1" applyFill="1" applyBorder="1" applyAlignment="1">
      <alignment horizontal="center"/>
    </xf>
    <xf numFmtId="0" fontId="18" fillId="3" borderId="23" xfId="0" applyFont="1" applyFill="1" applyBorder="1" applyAlignment="1">
      <alignment horizontal="center"/>
    </xf>
    <xf numFmtId="164" fontId="21" fillId="0" borderId="0" xfId="1" applyNumberFormat="1" applyFont="1" applyFill="1" applyAlignment="1">
      <alignment horizontal="center"/>
    </xf>
    <xf numFmtId="0" fontId="0" fillId="0" borderId="4" xfId="0" applyBorder="1"/>
    <xf numFmtId="0" fontId="0" fillId="0" borderId="33" xfId="0" applyBorder="1"/>
    <xf numFmtId="0" fontId="20" fillId="0" borderId="1" xfId="0" applyFont="1" applyBorder="1" applyAlignment="1">
      <alignment horizontal="right"/>
    </xf>
    <xf numFmtId="164" fontId="21" fillId="0" borderId="1" xfId="1" applyNumberFormat="1" applyFont="1" applyFill="1" applyBorder="1" applyAlignment="1">
      <alignment horizontal="center"/>
    </xf>
    <xf numFmtId="10" fontId="21" fillId="0" borderId="1" xfId="2" applyNumberFormat="1" applyFont="1" applyFill="1" applyBorder="1" applyAlignment="1">
      <alignment horizontal="center" vertical="center"/>
    </xf>
    <xf numFmtId="1" fontId="21" fillId="0" borderId="0" xfId="0" applyNumberFormat="1" applyFont="1" applyAlignment="1">
      <alignment horizontal="center"/>
    </xf>
    <xf numFmtId="10" fontId="48" fillId="0" borderId="0" xfId="2" applyNumberFormat="1" applyFont="1" applyFill="1" applyAlignment="1">
      <alignment horizontal="right"/>
    </xf>
    <xf numFmtId="43" fontId="37" fillId="0" borderId="0" xfId="1" applyFont="1" applyFill="1" applyAlignment="1">
      <alignment horizontal="right" vertical="center"/>
    </xf>
    <xf numFmtId="44" fontId="21" fillId="0" borderId="0" xfId="3" applyFont="1" applyFill="1" applyAlignment="1">
      <alignment horizontal="center"/>
    </xf>
    <xf numFmtId="10" fontId="21" fillId="0" borderId="0" xfId="2" applyNumberFormat="1" applyFont="1" applyFill="1" applyAlignment="1">
      <alignment horizontal="right" vertical="center"/>
    </xf>
    <xf numFmtId="10" fontId="21" fillId="0" borderId="1" xfId="2" applyNumberFormat="1" applyFont="1" applyFill="1" applyBorder="1" applyAlignment="1">
      <alignment horizontal="right" vertical="center"/>
    </xf>
    <xf numFmtId="43" fontId="21" fillId="0" borderId="0" xfId="1" applyFont="1" applyFill="1" applyAlignment="1">
      <alignment horizontal="center" vertical="center"/>
    </xf>
    <xf numFmtId="43" fontId="23" fillId="0" borderId="16" xfId="1" applyFont="1" applyFill="1" applyBorder="1" applyAlignment="1">
      <alignment horizontal="center" vertical="center"/>
    </xf>
    <xf numFmtId="165" fontId="21" fillId="0" borderId="0" xfId="3" applyNumberFormat="1" applyFont="1" applyFill="1" applyAlignment="1">
      <alignment horizontal="right"/>
    </xf>
    <xf numFmtId="170" fontId="18" fillId="0" borderId="0" xfId="0" applyNumberFormat="1" applyFont="1"/>
    <xf numFmtId="2" fontId="21" fillId="0" borderId="0" xfId="0" applyNumberFormat="1" applyFont="1" applyAlignment="1">
      <alignment horizontal="right" vertical="center"/>
    </xf>
    <xf numFmtId="164" fontId="37" fillId="0" borderId="2" xfId="1" applyNumberFormat="1" applyFont="1" applyFill="1" applyBorder="1"/>
    <xf numFmtId="0" fontId="33" fillId="0" borderId="1" xfId="0" applyFont="1" applyBorder="1" applyAlignment="1">
      <alignment horizontal="right"/>
    </xf>
    <xf numFmtId="10" fontId="33" fillId="0" borderId="1" xfId="2" applyNumberFormat="1" applyFont="1" applyBorder="1"/>
    <xf numFmtId="2" fontId="21" fillId="0" borderId="1" xfId="0" applyNumberFormat="1" applyFont="1" applyBorder="1" applyAlignment="1">
      <alignment horizontal="right" vertical="center"/>
    </xf>
    <xf numFmtId="166" fontId="21" fillId="0" borderId="0" xfId="1" applyNumberFormat="1" applyFont="1" applyFill="1" applyAlignment="1">
      <alignment horizontal="center" vertical="center"/>
    </xf>
    <xf numFmtId="0" fontId="18" fillId="0" borderId="0" xfId="0" applyFont="1" applyAlignment="1">
      <alignment horizontal="right"/>
    </xf>
    <xf numFmtId="0" fontId="18" fillId="0" borderId="21" xfId="0" applyFont="1" applyBorder="1"/>
    <xf numFmtId="0" fontId="18" fillId="0" borderId="23" xfId="0" applyFont="1" applyBorder="1"/>
    <xf numFmtId="10" fontId="27" fillId="0" borderId="0" xfId="2" applyNumberFormat="1" applyFont="1" applyAlignment="1">
      <alignment horizontal="left"/>
    </xf>
    <xf numFmtId="0" fontId="20" fillId="0" borderId="29" xfId="0" applyFont="1" applyBorder="1" applyAlignment="1">
      <alignment horizontal="right"/>
    </xf>
    <xf numFmtId="0" fontId="20" fillId="0" borderId="30" xfId="0" applyFont="1" applyBorder="1" applyAlignment="1">
      <alignment horizontal="left"/>
    </xf>
    <xf numFmtId="10" fontId="22" fillId="0" borderId="0" xfId="2" applyNumberFormat="1" applyFont="1" applyFill="1" applyAlignment="1">
      <alignment horizontal="center"/>
    </xf>
    <xf numFmtId="0" fontId="20" fillId="0" borderId="20" xfId="0" applyFont="1" applyBorder="1" applyAlignment="1">
      <alignment horizontal="right"/>
    </xf>
    <xf numFmtId="0" fontId="20" fillId="0" borderId="21" xfId="0" applyFont="1" applyBorder="1" applyAlignment="1">
      <alignment horizontal="left"/>
    </xf>
    <xf numFmtId="0" fontId="20" fillId="0" borderId="22" xfId="0" applyFont="1" applyBorder="1" applyAlignment="1">
      <alignment horizontal="right"/>
    </xf>
    <xf numFmtId="0" fontId="20" fillId="0" borderId="23" xfId="0" applyFont="1" applyBorder="1" applyAlignment="1">
      <alignment horizontal="left"/>
    </xf>
    <xf numFmtId="0" fontId="59" fillId="0" borderId="0" xfId="0" applyFont="1"/>
    <xf numFmtId="10" fontId="33" fillId="0" borderId="26" xfId="2" applyNumberFormat="1" applyFont="1" applyFill="1" applyBorder="1" applyAlignment="1">
      <alignment horizontal="center"/>
    </xf>
    <xf numFmtId="169" fontId="33" fillId="0" borderId="27" xfId="2" applyNumberFormat="1" applyFont="1" applyFill="1" applyBorder="1" applyAlignment="1">
      <alignment horizontal="center"/>
    </xf>
    <xf numFmtId="169" fontId="27" fillId="0" borderId="16" xfId="2" applyNumberFormat="1" applyFont="1" applyFill="1" applyBorder="1" applyAlignment="1">
      <alignment horizontal="center"/>
    </xf>
    <xf numFmtId="0" fontId="17" fillId="0" borderId="0" xfId="6" applyFill="1" applyAlignment="1" applyProtection="1"/>
    <xf numFmtId="0" fontId="60" fillId="0" borderId="0" xfId="6" applyFont="1" applyFill="1" applyAlignment="1" applyProtection="1"/>
    <xf numFmtId="10" fontId="45" fillId="0" borderId="16" xfId="2" applyNumberFormat="1" applyFont="1" applyFill="1" applyBorder="1" applyAlignment="1">
      <alignment horizontal="center"/>
    </xf>
    <xf numFmtId="0" fontId="34" fillId="0" borderId="17" xfId="0" applyFont="1" applyBorder="1" applyAlignment="1">
      <alignment horizontal="center"/>
    </xf>
    <xf numFmtId="3" fontId="37" fillId="0" borderId="0" xfId="0" applyNumberFormat="1" applyFont="1"/>
    <xf numFmtId="0" fontId="61" fillId="0" borderId="0" xfId="0" applyFont="1"/>
    <xf numFmtId="43" fontId="37" fillId="0" borderId="1" xfId="1" applyFont="1" applyFill="1" applyBorder="1" applyAlignment="1">
      <alignment horizontal="right" vertical="center"/>
    </xf>
    <xf numFmtId="10" fontId="26" fillId="0" borderId="0" xfId="2" applyNumberFormat="1" applyFont="1" applyFill="1" applyAlignment="1">
      <alignment horizontal="right"/>
    </xf>
    <xf numFmtId="0" fontId="35" fillId="0" borderId="16" xfId="0" applyFont="1" applyBorder="1" applyAlignment="1">
      <alignment horizontal="center"/>
    </xf>
    <xf numFmtId="3" fontId="37" fillId="0" borderId="10" xfId="0" applyNumberFormat="1" applyFont="1" applyBorder="1"/>
    <xf numFmtId="2" fontId="37" fillId="0" borderId="3" xfId="0" applyNumberFormat="1" applyFont="1" applyBorder="1" applyAlignment="1">
      <alignment horizontal="center"/>
    </xf>
    <xf numFmtId="2" fontId="37" fillId="0" borderId="2" xfId="0" applyNumberFormat="1" applyFont="1" applyBorder="1" applyAlignment="1">
      <alignment horizontal="center"/>
    </xf>
    <xf numFmtId="165" fontId="21" fillId="0" borderId="0" xfId="3" applyNumberFormat="1" applyFont="1" applyFill="1" applyAlignment="1">
      <alignment horizontal="center"/>
    </xf>
    <xf numFmtId="3" fontId="37" fillId="0" borderId="3" xfId="0" applyNumberFormat="1" applyFont="1" applyBorder="1"/>
    <xf numFmtId="15" fontId="33" fillId="0" borderId="7" xfId="0" quotePrefix="1" applyNumberFormat="1" applyFont="1" applyBorder="1" applyAlignment="1">
      <alignment horizontal="center"/>
    </xf>
    <xf numFmtId="0" fontId="37" fillId="0" borderId="7" xfId="0" applyFont="1" applyBorder="1" applyAlignment="1">
      <alignment horizontal="center"/>
    </xf>
    <xf numFmtId="10" fontId="37" fillId="0" borderId="7" xfId="2" applyNumberFormat="1" applyFont="1" applyFill="1" applyBorder="1"/>
    <xf numFmtId="166" fontId="21" fillId="0" borderId="1" xfId="1" applyNumberFormat="1" applyFont="1" applyFill="1" applyBorder="1" applyAlignment="1">
      <alignment horizontal="center" vertical="center"/>
    </xf>
    <xf numFmtId="0" fontId="35" fillId="0" borderId="18" xfId="0" applyFont="1" applyBorder="1"/>
    <xf numFmtId="10" fontId="35" fillId="0" borderId="28" xfId="2" applyNumberFormat="1" applyFont="1" applyFill="1" applyBorder="1"/>
    <xf numFmtId="43" fontId="35" fillId="0" borderId="28" xfId="1" applyFont="1" applyFill="1" applyBorder="1"/>
    <xf numFmtId="43" fontId="21" fillId="0" borderId="1" xfId="1" applyFont="1" applyFill="1" applyBorder="1" applyAlignment="1">
      <alignment horizontal="right" vertical="center"/>
    </xf>
    <xf numFmtId="43" fontId="21" fillId="0" borderId="1" xfId="1" applyFont="1" applyFill="1" applyBorder="1" applyAlignment="1">
      <alignment horizontal="center" vertical="center"/>
    </xf>
    <xf numFmtId="10" fontId="26" fillId="0" borderId="0" xfId="2" applyNumberFormat="1" applyFont="1" applyFill="1" applyAlignment="1">
      <alignment horizontal="center"/>
    </xf>
    <xf numFmtId="10" fontId="26" fillId="0" borderId="4" xfId="2" applyNumberFormat="1" applyFont="1" applyFill="1" applyBorder="1" applyAlignment="1">
      <alignment horizontal="center"/>
    </xf>
    <xf numFmtId="2" fontId="62" fillId="0" borderId="0" xfId="0" applyNumberFormat="1" applyFont="1" applyAlignment="1">
      <alignment horizontal="center"/>
    </xf>
    <xf numFmtId="10" fontId="22" fillId="0" borderId="16" xfId="2" applyNumberFormat="1" applyFont="1" applyFill="1" applyBorder="1" applyAlignment="1">
      <alignment horizontal="center"/>
    </xf>
    <xf numFmtId="43" fontId="0" fillId="0" borderId="0" xfId="1" applyFont="1"/>
    <xf numFmtId="0" fontId="37" fillId="0" borderId="18" xfId="0" applyFont="1" applyBorder="1"/>
    <xf numFmtId="10" fontId="37" fillId="0" borderId="28" xfId="2" applyNumberFormat="1" applyFont="1" applyFill="1" applyBorder="1" applyAlignment="1">
      <alignment horizontal="center"/>
    </xf>
    <xf numFmtId="164" fontId="36" fillId="0" borderId="0" xfId="1" applyNumberFormat="1" applyFont="1"/>
    <xf numFmtId="2" fontId="37" fillId="0" borderId="0" xfId="0" applyNumberFormat="1" applyFont="1" applyAlignment="1">
      <alignment horizontal="right"/>
    </xf>
    <xf numFmtId="2" fontId="21" fillId="0" borderId="0" xfId="0" applyNumberFormat="1" applyFont="1" applyAlignment="1">
      <alignment horizontal="right"/>
    </xf>
    <xf numFmtId="10" fontId="20" fillId="0" borderId="0" xfId="0" applyNumberFormat="1" applyFont="1" applyAlignment="1">
      <alignment horizontal="right"/>
    </xf>
    <xf numFmtId="2" fontId="48" fillId="0" borderId="0" xfId="0" applyNumberFormat="1" applyFont="1" applyAlignment="1">
      <alignment horizontal="right"/>
    </xf>
    <xf numFmtId="2" fontId="37" fillId="0" borderId="4" xfId="0" applyNumberFormat="1" applyFont="1" applyBorder="1" applyAlignment="1">
      <alignment horizontal="right"/>
    </xf>
    <xf numFmtId="10" fontId="21" fillId="0" borderId="1" xfId="2" applyNumberFormat="1" applyFont="1" applyBorder="1" applyAlignment="1">
      <alignment horizontal="right" vertical="center"/>
    </xf>
    <xf numFmtId="0" fontId="27" fillId="0" borderId="3" xfId="0" applyFont="1" applyBorder="1" applyAlignment="1">
      <alignment horizontal="center"/>
    </xf>
    <xf numFmtId="0" fontId="33" fillId="4" borderId="38" xfId="0" applyFont="1" applyFill="1" applyBorder="1"/>
    <xf numFmtId="10" fontId="37" fillId="4" borderId="38" xfId="2" applyNumberFormat="1" applyFont="1" applyFill="1" applyBorder="1" applyAlignment="1">
      <alignment horizontal="center"/>
    </xf>
    <xf numFmtId="0" fontId="18" fillId="0" borderId="20" xfId="0" applyFont="1" applyBorder="1"/>
    <xf numFmtId="10" fontId="18" fillId="0" borderId="20" xfId="2" applyNumberFormat="1" applyFont="1" applyFill="1" applyBorder="1"/>
    <xf numFmtId="10" fontId="18" fillId="0" borderId="20" xfId="0" applyNumberFormat="1" applyFont="1" applyBorder="1"/>
    <xf numFmtId="0" fontId="37" fillId="3" borderId="22" xfId="0" applyFont="1" applyFill="1" applyBorder="1"/>
    <xf numFmtId="10" fontId="37" fillId="3" borderId="27" xfId="2" applyNumberFormat="1" applyFont="1" applyFill="1" applyBorder="1" applyAlignment="1">
      <alignment horizontal="center"/>
    </xf>
    <xf numFmtId="10" fontId="37" fillId="0" borderId="8" xfId="2" applyNumberFormat="1" applyFont="1" applyFill="1" applyBorder="1"/>
    <xf numFmtId="10" fontId="37" fillId="0" borderId="14" xfId="2" applyNumberFormat="1" applyFont="1" applyFill="1" applyBorder="1"/>
    <xf numFmtId="0" fontId="26" fillId="0" borderId="0" xfId="0" applyFont="1" applyAlignment="1">
      <alignment horizontal="right" vertical="center"/>
    </xf>
    <xf numFmtId="0" fontId="27" fillId="0" borderId="25" xfId="0" applyFont="1" applyBorder="1" applyAlignment="1">
      <alignment horizontal="center"/>
    </xf>
    <xf numFmtId="0" fontId="63" fillId="0" borderId="24" xfId="0" applyFont="1" applyBorder="1" applyAlignment="1">
      <alignment horizontal="center" wrapText="1"/>
    </xf>
    <xf numFmtId="10" fontId="21" fillId="0" borderId="24" xfId="2" applyNumberFormat="1" applyFont="1" applyFill="1" applyBorder="1" applyAlignment="1">
      <alignment horizontal="center"/>
    </xf>
    <xf numFmtId="10" fontId="21" fillId="0" borderId="10" xfId="2" applyNumberFormat="1" applyFont="1" applyFill="1" applyBorder="1" applyAlignment="1">
      <alignment horizontal="center"/>
    </xf>
    <xf numFmtId="10" fontId="21" fillId="0" borderId="3" xfId="2" applyNumberFormat="1" applyFont="1" applyFill="1" applyBorder="1" applyAlignment="1">
      <alignment horizontal="center"/>
    </xf>
    <xf numFmtId="10" fontId="21" fillId="0" borderId="3" xfId="1" applyNumberFormat="1" applyFont="1" applyFill="1" applyBorder="1" applyAlignment="1">
      <alignment horizontal="center"/>
    </xf>
    <xf numFmtId="10" fontId="21" fillId="0" borderId="24" xfId="1" applyNumberFormat="1" applyFont="1" applyFill="1" applyBorder="1" applyAlignment="1">
      <alignment horizontal="center"/>
    </xf>
    <xf numFmtId="10" fontId="21" fillId="0" borderId="10" xfId="1" applyNumberFormat="1" applyFont="1" applyFill="1" applyBorder="1" applyAlignment="1">
      <alignment horizontal="center"/>
    </xf>
    <xf numFmtId="0" fontId="64" fillId="0" borderId="24" xfId="0" applyFont="1" applyBorder="1"/>
    <xf numFmtId="0" fontId="64" fillId="0" borderId="10" xfId="0" applyFont="1" applyBorder="1"/>
    <xf numFmtId="0" fontId="64" fillId="0" borderId="3" xfId="0" applyFont="1" applyBorder="1"/>
    <xf numFmtId="0" fontId="64" fillId="0" borderId="16" xfId="0" applyFont="1" applyBorder="1"/>
    <xf numFmtId="0" fontId="18" fillId="0" borderId="8" xfId="0" applyFont="1" applyBorder="1"/>
    <xf numFmtId="0" fontId="18" fillId="0" borderId="14" xfId="0" applyFont="1" applyBorder="1"/>
    <xf numFmtId="0" fontId="0" fillId="0" borderId="8" xfId="0" applyBorder="1"/>
    <xf numFmtId="0" fontId="0" fillId="0" borderId="14" xfId="0" applyBorder="1"/>
    <xf numFmtId="10" fontId="37" fillId="4" borderId="26" xfId="2" applyNumberFormat="1" applyFont="1" applyFill="1" applyBorder="1" applyAlignment="1">
      <alignment horizontal="center"/>
    </xf>
    <xf numFmtId="0" fontId="33" fillId="4" borderId="26" xfId="0" applyFont="1" applyFill="1" applyBorder="1"/>
    <xf numFmtId="0" fontId="37" fillId="4" borderId="26" xfId="0" applyFont="1" applyFill="1" applyBorder="1"/>
    <xf numFmtId="0" fontId="37" fillId="4" borderId="27" xfId="0" applyFont="1" applyFill="1" applyBorder="1"/>
    <xf numFmtId="0" fontId="37" fillId="3" borderId="26" xfId="0" applyFont="1" applyFill="1" applyBorder="1"/>
    <xf numFmtId="0" fontId="33" fillId="0" borderId="33" xfId="0" applyFont="1" applyBorder="1"/>
    <xf numFmtId="10" fontId="21" fillId="0" borderId="0" xfId="2" applyNumberFormat="1" applyFont="1" applyAlignment="1">
      <alignment horizontal="right"/>
    </xf>
    <xf numFmtId="10" fontId="26" fillId="0" borderId="0" xfId="2" applyNumberFormat="1" applyFont="1" applyAlignment="1">
      <alignment horizontal="right"/>
    </xf>
    <xf numFmtId="10" fontId="21" fillId="0" borderId="4" xfId="2" applyNumberFormat="1" applyFont="1" applyFill="1" applyBorder="1" applyAlignment="1">
      <alignment horizontal="right"/>
    </xf>
    <xf numFmtId="10" fontId="26" fillId="0" borderId="4" xfId="2" applyNumberFormat="1" applyFont="1" applyFill="1" applyBorder="1" applyAlignment="1">
      <alignment horizontal="right"/>
    </xf>
    <xf numFmtId="10" fontId="21" fillId="0" borderId="4" xfId="2" applyNumberFormat="1" applyFont="1" applyBorder="1" applyAlignment="1">
      <alignment horizontal="right"/>
    </xf>
    <xf numFmtId="10" fontId="26" fillId="0" borderId="4" xfId="2" applyNumberFormat="1" applyFont="1" applyBorder="1" applyAlignment="1">
      <alignment horizontal="right"/>
    </xf>
    <xf numFmtId="2" fontId="33" fillId="0" borderId="34" xfId="0" applyNumberFormat="1" applyFont="1" applyBorder="1" applyAlignment="1">
      <alignment horizontal="center"/>
    </xf>
    <xf numFmtId="10" fontId="23" fillId="0" borderId="16" xfId="2" applyNumberFormat="1" applyFont="1" applyFill="1" applyBorder="1" applyAlignment="1">
      <alignment horizontal="center" vertical="center"/>
    </xf>
    <xf numFmtId="10" fontId="23" fillId="0" borderId="16" xfId="2" applyNumberFormat="1" applyFont="1" applyFill="1" applyBorder="1" applyAlignment="1">
      <alignment horizontal="center"/>
    </xf>
    <xf numFmtId="0" fontId="36" fillId="3" borderId="0" xfId="0" applyFont="1" applyFill="1" applyAlignment="1">
      <alignment horizontal="center"/>
    </xf>
    <xf numFmtId="0" fontId="18" fillId="3" borderId="39" xfId="0" applyFont="1" applyFill="1" applyBorder="1" applyAlignment="1">
      <alignment horizontal="center"/>
    </xf>
    <xf numFmtId="0" fontId="36" fillId="3" borderId="1" xfId="0" applyFont="1" applyFill="1" applyBorder="1" applyAlignment="1">
      <alignment horizontal="center"/>
    </xf>
    <xf numFmtId="0" fontId="18" fillId="3" borderId="40" xfId="0" applyFont="1" applyFill="1" applyBorder="1" applyAlignment="1">
      <alignment horizontal="center"/>
    </xf>
    <xf numFmtId="0" fontId="18" fillId="3" borderId="41" xfId="0" applyFont="1" applyFill="1" applyBorder="1" applyAlignment="1">
      <alignment horizontal="center"/>
    </xf>
    <xf numFmtId="2" fontId="23" fillId="0" borderId="16" xfId="0" applyNumberFormat="1" applyFont="1" applyBorder="1" applyAlignment="1">
      <alignment horizontal="center"/>
    </xf>
    <xf numFmtId="2" fontId="35" fillId="0" borderId="28" xfId="0" applyNumberFormat="1" applyFont="1" applyBorder="1"/>
    <xf numFmtId="0" fontId="35" fillId="0" borderId="28" xfId="0" applyFont="1" applyBorder="1"/>
    <xf numFmtId="10" fontId="67" fillId="0" borderId="10" xfId="2" applyNumberFormat="1" applyFont="1" applyFill="1" applyBorder="1" applyAlignment="1">
      <alignment horizontal="center" vertical="center"/>
    </xf>
    <xf numFmtId="10" fontId="67" fillId="0" borderId="0" xfId="2" applyNumberFormat="1" applyFont="1" applyFill="1" applyBorder="1" applyAlignment="1">
      <alignment horizontal="center" vertical="center"/>
    </xf>
    <xf numFmtId="169" fontId="62" fillId="0" borderId="21" xfId="0" applyNumberFormat="1" applyFont="1" applyBorder="1" applyAlignment="1">
      <alignment horizontal="center" vertical="center"/>
    </xf>
    <xf numFmtId="169" fontId="62" fillId="0" borderId="26" xfId="0" applyNumberFormat="1" applyFont="1" applyBorder="1" applyAlignment="1">
      <alignment horizontal="center" vertical="center"/>
    </xf>
    <xf numFmtId="10" fontId="41" fillId="0" borderId="16" xfId="2" applyNumberFormat="1" applyFont="1" applyFill="1" applyBorder="1" applyAlignment="1">
      <alignment horizontal="center"/>
    </xf>
    <xf numFmtId="10" fontId="22" fillId="0" borderId="16" xfId="2" applyNumberFormat="1" applyFont="1" applyFill="1" applyBorder="1"/>
    <xf numFmtId="43" fontId="23" fillId="0" borderId="16" xfId="1" applyFont="1" applyFill="1" applyBorder="1" applyAlignment="1">
      <alignment horizontal="center"/>
    </xf>
    <xf numFmtId="166" fontId="23" fillId="0" borderId="16" xfId="1" applyNumberFormat="1" applyFont="1" applyFill="1" applyBorder="1" applyAlignment="1">
      <alignment horizontal="center"/>
    </xf>
    <xf numFmtId="0" fontId="29" fillId="0" borderId="0" xfId="0" applyFont="1"/>
    <xf numFmtId="166" fontId="26" fillId="0" borderId="0" xfId="1" applyNumberFormat="1" applyFont="1" applyFill="1" applyAlignment="1">
      <alignment horizontal="right"/>
    </xf>
    <xf numFmtId="10" fontId="68" fillId="0" borderId="0" xfId="2" applyNumberFormat="1" applyFont="1" applyFill="1" applyAlignment="1">
      <alignment horizontal="center"/>
    </xf>
    <xf numFmtId="169" fontId="33" fillId="0" borderId="25" xfId="2" applyNumberFormat="1" applyFont="1" applyFill="1" applyBorder="1" applyAlignment="1">
      <alignment horizontal="center"/>
    </xf>
    <xf numFmtId="10" fontId="23" fillId="0" borderId="32" xfId="2" applyNumberFormat="1" applyFont="1" applyFill="1" applyBorder="1" applyAlignment="1">
      <alignment horizontal="right"/>
    </xf>
    <xf numFmtId="10" fontId="23" fillId="0" borderId="34" xfId="0" applyNumberFormat="1" applyFont="1" applyBorder="1"/>
    <xf numFmtId="0" fontId="65" fillId="0" borderId="0" xfId="0" applyFont="1" applyAlignment="1">
      <alignment horizontal="center"/>
    </xf>
    <xf numFmtId="0" fontId="66"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0" fillId="0" borderId="0" xfId="0" applyAlignment="1">
      <alignment horizontal="center"/>
    </xf>
    <xf numFmtId="0" fontId="5" fillId="0" borderId="0" xfId="0" applyFont="1" applyAlignment="1">
      <alignment horizontal="center"/>
    </xf>
    <xf numFmtId="0" fontId="6"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xf>
    <xf numFmtId="0" fontId="10" fillId="0" borderId="0" xfId="0" applyFont="1" applyAlignment="1">
      <alignment horizontal="center"/>
    </xf>
    <xf numFmtId="0" fontId="19" fillId="0" borderId="0" xfId="0" applyFont="1" applyAlignment="1">
      <alignment horizontal="left" vertical="top" wrapText="1"/>
    </xf>
  </cellXfs>
  <cellStyles count="7">
    <cellStyle name="Comma" xfId="1" builtinId="3"/>
    <cellStyle name="Comma0 - Style5" xfId="4" xr:uid="{1397E544-7A5D-4627-82CA-446E9A855C6D}"/>
    <cellStyle name="Currency" xfId="3" builtinId="4"/>
    <cellStyle name="Hyperlink" xfId="6" builtinId="8"/>
    <cellStyle name="Normal" xfId="0" builtinId="0"/>
    <cellStyle name="Percen - Style2" xfId="5" xr:uid="{A055BC95-278A-4F04-A738-FFE257F1BA8F}"/>
    <cellStyle name="Percent" xfId="2" builtinId="5"/>
  </cellStyles>
  <dxfs count="0"/>
  <tableStyles count="0" defaultTableStyle="TableStyleMedium9"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447674</xdr:colOff>
      <xdr:row>33</xdr:row>
      <xdr:rowOff>53975</xdr:rowOff>
    </xdr:from>
    <xdr:to>
      <xdr:col>6</xdr:col>
      <xdr:colOff>400049</xdr:colOff>
      <xdr:row>35</xdr:row>
      <xdr:rowOff>149225</xdr:rowOff>
    </xdr:to>
    <xdr:pic>
      <xdr:nvPicPr>
        <xdr:cNvPr id="3" name="Picture 2" descr="Horse.bmp">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2124074" y="7235825"/>
          <a:ext cx="1781175" cy="476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57150</xdr:colOff>
      <xdr:row>43</xdr:row>
      <xdr:rowOff>0</xdr:rowOff>
    </xdr:to>
    <xdr:pic>
      <xdr:nvPicPr>
        <xdr:cNvPr id="4" name="Picture 3">
          <a:extLst>
            <a:ext uri="{FF2B5EF4-FFF2-40B4-BE49-F238E27FC236}">
              <a16:creationId xmlns:a16="http://schemas.microsoft.com/office/drawing/2014/main" id="{C5D12A76-D87B-333D-C672-7D35EB374882}"/>
            </a:ext>
          </a:extLst>
        </xdr:cNvPr>
        <xdr:cNvPicPr>
          <a:picLocks noChangeAspect="1"/>
        </xdr:cNvPicPr>
      </xdr:nvPicPr>
      <xdr:blipFill>
        <a:blip xmlns:r="http://schemas.openxmlformats.org/officeDocument/2006/relationships" r:embed="rId1"/>
        <a:stretch>
          <a:fillRect/>
        </a:stretch>
      </xdr:blipFill>
      <xdr:spPr>
        <a:xfrm>
          <a:off x="609600" y="190500"/>
          <a:ext cx="6153150" cy="8001000"/>
        </a:xfrm>
        <a:prstGeom prst="rect">
          <a:avLst/>
        </a:prstGeom>
      </xdr:spPr>
    </xdr:pic>
    <xdr:clientData/>
  </xdr:twoCellAnchor>
  <xdr:twoCellAnchor editAs="oneCell">
    <xdr:from>
      <xdr:col>1</xdr:col>
      <xdr:colOff>0</xdr:colOff>
      <xdr:row>1</xdr:row>
      <xdr:rowOff>0</xdr:rowOff>
    </xdr:from>
    <xdr:to>
      <xdr:col>13</xdr:col>
      <xdr:colOff>304800</xdr:colOff>
      <xdr:row>53</xdr:row>
      <xdr:rowOff>95250</xdr:rowOff>
    </xdr:to>
    <xdr:pic>
      <xdr:nvPicPr>
        <xdr:cNvPr id="2" name="Picture 1">
          <a:extLst>
            <a:ext uri="{FF2B5EF4-FFF2-40B4-BE49-F238E27FC236}">
              <a16:creationId xmlns:a16="http://schemas.microsoft.com/office/drawing/2014/main" id="{6C5323AF-796E-3171-E706-6B4D60764FCD}"/>
            </a:ext>
          </a:extLst>
        </xdr:cNvPr>
        <xdr:cNvPicPr>
          <a:picLocks noChangeAspect="1"/>
        </xdr:cNvPicPr>
      </xdr:nvPicPr>
      <xdr:blipFill>
        <a:blip xmlns:r="http://schemas.openxmlformats.org/officeDocument/2006/relationships" r:embed="rId2"/>
        <a:stretch>
          <a:fillRect/>
        </a:stretch>
      </xdr:blipFill>
      <xdr:spPr>
        <a:xfrm>
          <a:off x="609600" y="190500"/>
          <a:ext cx="7620000" cy="100012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tradingeconomics.com/united-states/gdp-growth" TargetMode="External"/><Relationship Id="rId13" Type="http://schemas.openxmlformats.org/officeDocument/2006/relationships/hyperlink" Target="https://www.federalreserve.gov/datadownload/Preview.aspx?pi=400&amp;rel=H15&amp;preview=%20H15/H15/RIFLGFCY05_N.WF" TargetMode="External"/><Relationship Id="rId3" Type="http://schemas.openxmlformats.org/officeDocument/2006/relationships/hyperlink" Target="https://www.philadelphiafed.org/surveys-and-data/real-time-data-research/survey-of-professional-forecasters" TargetMode="External"/><Relationship Id="rId7" Type="http://schemas.openxmlformats.org/officeDocument/2006/relationships/hyperlink" Target="https://www.federalreserve.gov/monetarypolicy/files/fomcprojtabl20221214.pdf" TargetMode="External"/><Relationship Id="rId12" Type="http://schemas.openxmlformats.org/officeDocument/2006/relationships/hyperlink" Target="https://www.federalreserve.gov/monetarypolicy/files/fomcprojtabl20221215.pdf" TargetMode="External"/><Relationship Id="rId2" Type="http://schemas.openxmlformats.org/officeDocument/2006/relationships/hyperlink" Target="https://www.cbo.gov/about/products/budget-economic-data" TargetMode="External"/><Relationship Id="rId16" Type="http://schemas.openxmlformats.org/officeDocument/2006/relationships/printerSettings" Target="../printerSettings/printerSettings14.bin"/><Relationship Id="rId1" Type="http://schemas.openxmlformats.org/officeDocument/2006/relationships/hyperlink" Target="https://www.philadelphiafed.org/research-and-data/real-time-center/livingston-survey" TargetMode="External"/><Relationship Id="rId6" Type="http://schemas.openxmlformats.org/officeDocument/2006/relationships/hyperlink" Target="http://www.federalreserve.gov/" TargetMode="External"/><Relationship Id="rId11" Type="http://schemas.openxmlformats.org/officeDocument/2006/relationships/hyperlink" Target="http://www.federalreserve.gov/Releases/H15/Current/" TargetMode="External"/><Relationship Id="rId5" Type="http://schemas.openxmlformats.org/officeDocument/2006/relationships/hyperlink" Target="http://pages.stern.nyu.edu/~adamodar/New_Home_Page/valquestions/stablegrowthrate.htm" TargetMode="External"/><Relationship Id="rId15" Type="http://schemas.openxmlformats.org/officeDocument/2006/relationships/hyperlink" Target="https://www.cbo.gov/system/files/2021-02/56970-Outlook.p" TargetMode="External"/><Relationship Id="rId10" Type="http://schemas.openxmlformats.org/officeDocument/2006/relationships/hyperlink" Target="http://country.eiu.com/article.aspx?articleid=1652314548&amp;Country=United+States&amp;topic=Economy&amp;subtopic=Long-term+outlook&amp;subsubtopic=Summary" TargetMode="External"/><Relationship Id="rId4" Type="http://schemas.openxmlformats.org/officeDocument/2006/relationships/hyperlink" Target="https://www.philadelphiafed.org/research-and-data/real-time-center/livingston-survey" TargetMode="External"/><Relationship Id="rId9" Type="http://schemas.openxmlformats.org/officeDocument/2006/relationships/hyperlink" Target="http://www.worldbank.org/en/publication/global-economic-prospects" TargetMode="External"/><Relationship Id="rId14" Type="http://schemas.openxmlformats.org/officeDocument/2006/relationships/hyperlink" Target="https://www.philadelphiafed.org/-/media/frbp/assets/surveys-and-data/survey-of-professional-forecasters/2023/spfq123.pdf"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bvresources.com/products/faqs/cost-of-capital-professional" TargetMode="External"/><Relationship Id="rId2" Type="http://schemas.openxmlformats.org/officeDocument/2006/relationships/hyperlink" Target="https://papers.ssrn.com/sol3/papers.cfm?abstract_id=3803990" TargetMode="External"/><Relationship Id="rId1" Type="http://schemas.openxmlformats.org/officeDocument/2006/relationships/hyperlink" Target="https://simplywall.st/stocks/us/transportation" TargetMode="External"/><Relationship Id="rId6" Type="http://schemas.openxmlformats.org/officeDocument/2006/relationships/printerSettings" Target="../printerSettings/printerSettings16.bin"/><Relationship Id="rId5" Type="http://schemas.openxmlformats.org/officeDocument/2006/relationships/hyperlink" Target="http://pages.stern.nyu.edu/~adamodar/New_Home_Page/datacurrent.html" TargetMode="External"/><Relationship Id="rId4" Type="http://schemas.openxmlformats.org/officeDocument/2006/relationships/hyperlink" Target="https://www.richmondfed.org/research/national_economy/cfo_survey"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M37"/>
  <sheetViews>
    <sheetView view="pageBreakPreview" zoomScale="80" zoomScaleNormal="100" zoomScaleSheetLayoutView="80" workbookViewId="0">
      <selection activeCell="F13" sqref="F13"/>
    </sheetView>
  </sheetViews>
  <sheetFormatPr defaultRowHeight="15"/>
  <cols>
    <col min="9" max="9" width="16.42578125" customWidth="1"/>
  </cols>
  <sheetData>
    <row r="1" spans="1:13" ht="18.75">
      <c r="A1" s="443" t="s">
        <v>0</v>
      </c>
      <c r="B1" s="444"/>
      <c r="C1" s="444"/>
      <c r="D1" s="444"/>
      <c r="E1" s="444"/>
      <c r="F1" s="444"/>
      <c r="G1" s="444"/>
      <c r="H1" s="444"/>
      <c r="I1" s="444"/>
    </row>
    <row r="5" spans="1:13" ht="27">
      <c r="E5" s="445" t="s">
        <v>0</v>
      </c>
      <c r="F5" s="446"/>
      <c r="G5" s="446"/>
      <c r="H5" s="446"/>
      <c r="I5" s="446"/>
      <c r="J5" s="446"/>
      <c r="K5" s="446"/>
      <c r="L5" s="446"/>
      <c r="M5" s="446"/>
    </row>
    <row r="7" spans="1:13" ht="27">
      <c r="A7" s="447" t="s">
        <v>31</v>
      </c>
      <c r="B7" s="448"/>
      <c r="C7" s="448"/>
      <c r="D7" s="448"/>
      <c r="E7" s="448"/>
      <c r="F7" s="448"/>
      <c r="G7" s="448"/>
      <c r="H7" s="448"/>
      <c r="I7" s="448"/>
    </row>
    <row r="8" spans="1:13" ht="27">
      <c r="A8" s="6"/>
      <c r="B8" s="7"/>
      <c r="C8" s="7"/>
      <c r="D8" s="7"/>
      <c r="E8" s="445" t="s">
        <v>0</v>
      </c>
      <c r="F8" s="446"/>
      <c r="G8" s="446"/>
      <c r="H8" s="446"/>
      <c r="I8" s="446"/>
      <c r="J8" s="446"/>
      <c r="K8" s="446"/>
      <c r="L8" s="446"/>
      <c r="M8" s="446"/>
    </row>
    <row r="9" spans="1:13" ht="27">
      <c r="A9" s="445" t="s">
        <v>89</v>
      </c>
      <c r="B9" s="446"/>
      <c r="C9" s="446"/>
      <c r="D9" s="446"/>
      <c r="E9" s="446"/>
      <c r="F9" s="446"/>
      <c r="G9" s="446"/>
      <c r="H9" s="446"/>
      <c r="I9" s="446"/>
    </row>
    <row r="15" spans="1:13">
      <c r="A15" s="440" t="s">
        <v>0</v>
      </c>
      <c r="B15" s="441"/>
      <c r="C15" s="441"/>
      <c r="D15" s="441"/>
      <c r="E15" s="441"/>
      <c r="F15" s="441"/>
      <c r="G15" s="441"/>
      <c r="H15" s="441"/>
      <c r="I15" s="441"/>
    </row>
    <row r="16" spans="1:13" ht="26.25">
      <c r="A16" s="438" t="str">
        <f>+'S&amp;D'!A12</f>
        <v>Electric Wholesale (non-regulated) Power Generator</v>
      </c>
      <c r="B16" s="439"/>
      <c r="C16" s="439"/>
      <c r="D16" s="439"/>
      <c r="E16" s="439"/>
      <c r="F16" s="439"/>
      <c r="G16" s="439"/>
      <c r="H16" s="439"/>
      <c r="I16" s="439"/>
    </row>
    <row r="17" spans="1:9">
      <c r="A17" s="440" t="s">
        <v>0</v>
      </c>
      <c r="B17" s="441"/>
      <c r="C17" s="441"/>
      <c r="D17" s="441"/>
      <c r="E17" s="441"/>
      <c r="F17" s="441"/>
      <c r="G17" s="441"/>
      <c r="H17" s="441"/>
      <c r="I17" s="441"/>
    </row>
    <row r="18" spans="1:9">
      <c r="A18" s="8"/>
      <c r="B18" s="9"/>
      <c r="C18" s="9"/>
      <c r="D18" s="9"/>
      <c r="E18" s="9"/>
      <c r="F18" s="9"/>
      <c r="G18" s="9"/>
      <c r="H18" s="9"/>
      <c r="I18" s="9"/>
    </row>
    <row r="19" spans="1:9">
      <c r="A19" s="8"/>
      <c r="B19" s="9"/>
      <c r="C19" s="9"/>
      <c r="D19" s="9"/>
      <c r="E19" s="9"/>
      <c r="F19" s="9"/>
      <c r="G19" s="9"/>
      <c r="H19" s="9"/>
      <c r="I19" s="9"/>
    </row>
    <row r="20" spans="1:9">
      <c r="A20" s="8"/>
      <c r="B20" s="9"/>
      <c r="C20" s="9"/>
      <c r="D20" s="9"/>
      <c r="E20" s="9"/>
      <c r="F20" s="9"/>
      <c r="G20" s="9"/>
      <c r="H20" s="9"/>
      <c r="I20" s="9"/>
    </row>
    <row r="21" spans="1:9">
      <c r="A21" s="8"/>
      <c r="B21" s="9"/>
      <c r="C21" s="9"/>
      <c r="D21" s="9"/>
      <c r="E21" s="9"/>
      <c r="F21" s="9"/>
      <c r="G21" s="9"/>
      <c r="H21" s="9"/>
      <c r="I21" s="9"/>
    </row>
    <row r="22" spans="1:9">
      <c r="A22" s="8"/>
      <c r="B22" s="9"/>
      <c r="C22" s="9"/>
      <c r="D22" s="9"/>
      <c r="E22" s="9"/>
      <c r="F22" s="9"/>
      <c r="G22" s="9"/>
      <c r="H22" s="9"/>
      <c r="I22" s="9"/>
    </row>
    <row r="23" spans="1:9">
      <c r="A23" s="8"/>
      <c r="B23" s="9"/>
      <c r="C23" s="9"/>
      <c r="D23" s="9"/>
      <c r="E23" s="9"/>
      <c r="F23" s="9"/>
      <c r="G23" s="9"/>
      <c r="H23" s="9"/>
      <c r="I23" s="9"/>
    </row>
    <row r="24" spans="1:9">
      <c r="A24" s="8"/>
      <c r="B24" s="9"/>
      <c r="C24" s="9"/>
      <c r="D24" s="9"/>
      <c r="E24" s="9"/>
      <c r="F24" s="9"/>
      <c r="G24" s="9"/>
      <c r="H24" s="9"/>
      <c r="I24" s="9"/>
    </row>
    <row r="25" spans="1:9">
      <c r="A25" s="8"/>
      <c r="B25" s="9"/>
      <c r="C25" s="9"/>
      <c r="D25" s="9"/>
      <c r="E25" s="9"/>
      <c r="F25" s="9"/>
      <c r="G25" s="9"/>
      <c r="H25" s="9"/>
      <c r="I25" s="9"/>
    </row>
    <row r="26" spans="1:9">
      <c r="A26" s="8"/>
      <c r="B26" s="9"/>
      <c r="C26" s="9"/>
      <c r="D26" s="9"/>
      <c r="E26" s="9"/>
      <c r="F26" s="9"/>
      <c r="G26" s="9"/>
      <c r="H26" s="9"/>
      <c r="I26" s="9"/>
    </row>
    <row r="27" spans="1:9">
      <c r="A27" s="8"/>
      <c r="B27" s="9"/>
      <c r="C27" s="9"/>
      <c r="D27" s="9"/>
      <c r="E27" s="9"/>
      <c r="F27" s="9"/>
      <c r="G27" s="9"/>
      <c r="H27" s="9"/>
      <c r="I27" s="9"/>
    </row>
    <row r="28" spans="1:9">
      <c r="A28" s="8"/>
      <c r="B28" s="9"/>
      <c r="C28" s="9"/>
      <c r="D28" s="9"/>
      <c r="E28" s="9"/>
      <c r="F28" s="9"/>
      <c r="G28" s="9"/>
      <c r="H28" s="9"/>
      <c r="I28" s="9"/>
    </row>
    <row r="29" spans="1:9">
      <c r="A29" s="440" t="s">
        <v>0</v>
      </c>
      <c r="B29" s="441"/>
      <c r="C29" s="441"/>
      <c r="D29" s="441"/>
      <c r="E29" s="441"/>
      <c r="F29" s="441"/>
      <c r="G29" s="441"/>
      <c r="H29" s="441"/>
      <c r="I29" s="441"/>
    </row>
    <row r="34" spans="1:9">
      <c r="A34" s="442"/>
      <c r="B34" s="442"/>
      <c r="C34" s="442"/>
      <c r="D34" s="442"/>
      <c r="E34" s="442"/>
      <c r="F34" s="442"/>
      <c r="G34" s="442"/>
      <c r="H34" s="442"/>
      <c r="I34" s="442"/>
    </row>
    <row r="35" spans="1:9">
      <c r="A35" s="442"/>
      <c r="B35" s="442"/>
      <c r="C35" s="442"/>
      <c r="D35" s="442"/>
      <c r="E35" s="442"/>
      <c r="F35" s="442"/>
      <c r="G35" s="442"/>
      <c r="H35" s="442"/>
      <c r="I35" s="442"/>
    </row>
    <row r="36" spans="1:9">
      <c r="A36" s="442"/>
      <c r="B36" s="442"/>
      <c r="C36" s="442"/>
      <c r="D36" s="442"/>
      <c r="E36" s="442"/>
      <c r="F36" s="442"/>
      <c r="G36" s="442"/>
      <c r="H36" s="442"/>
      <c r="I36" s="442"/>
    </row>
    <row r="37" spans="1:9">
      <c r="A37" s="442"/>
      <c r="B37" s="442"/>
      <c r="C37" s="442"/>
      <c r="D37" s="442"/>
      <c r="E37" s="442"/>
      <c r="F37" s="442"/>
      <c r="G37" s="442"/>
      <c r="H37" s="442"/>
      <c r="I37" s="442"/>
    </row>
  </sheetData>
  <mergeCells count="10">
    <mergeCell ref="A16:I16"/>
    <mergeCell ref="A17:I17"/>
    <mergeCell ref="A29:I29"/>
    <mergeCell ref="A34:I37"/>
    <mergeCell ref="A1:I1"/>
    <mergeCell ref="E5:M5"/>
    <mergeCell ref="A7:I7"/>
    <mergeCell ref="E8:M8"/>
    <mergeCell ref="A9:I9"/>
    <mergeCell ref="A15:I15"/>
  </mergeCells>
  <pageMargins left="0.25" right="0.25"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7977D-79F8-4597-B6CD-EDBA2BDD7D4C}">
  <sheetPr>
    <tabColor rgb="FF92D050"/>
  </sheetPr>
  <dimension ref="A1:P34"/>
  <sheetViews>
    <sheetView view="pageBreakPreview" zoomScale="70" zoomScaleNormal="80" zoomScaleSheetLayoutView="70" workbookViewId="0">
      <selection activeCell="I11" sqref="I11"/>
    </sheetView>
  </sheetViews>
  <sheetFormatPr defaultRowHeight="15"/>
  <cols>
    <col min="1" max="1" width="54.140625" customWidth="1"/>
    <col min="2" max="2" width="13.140625" customWidth="1"/>
    <col min="3" max="3" width="20.5703125" customWidth="1"/>
    <col min="4" max="4" width="21.7109375" customWidth="1"/>
    <col min="5" max="5" width="24.140625" customWidth="1"/>
    <col min="6" max="6" width="22.28515625" customWidth="1"/>
    <col min="7" max="7" width="23.85546875" customWidth="1"/>
    <col min="8" max="8" width="22.7109375" customWidth="1"/>
    <col min="9" max="9" width="15" customWidth="1"/>
    <col min="10" max="10" width="14.140625" bestFit="1" customWidth="1"/>
  </cols>
  <sheetData>
    <row r="1" spans="1:11" ht="20.25">
      <c r="A1" s="24" t="s">
        <v>1</v>
      </c>
      <c r="B1" s="12"/>
      <c r="C1" s="12"/>
      <c r="D1" s="12"/>
      <c r="E1" s="12"/>
      <c r="F1" s="12"/>
      <c r="G1" s="12"/>
      <c r="H1" s="12"/>
      <c r="I1" s="12"/>
      <c r="J1" s="12"/>
      <c r="K1" s="12"/>
    </row>
    <row r="2" spans="1:11" ht="15.75">
      <c r="A2" s="25" t="s">
        <v>9</v>
      </c>
      <c r="B2" s="12"/>
      <c r="C2" s="12"/>
      <c r="D2" s="12"/>
      <c r="E2" s="12"/>
      <c r="F2" s="12"/>
      <c r="G2" s="12"/>
      <c r="H2" s="12"/>
      <c r="I2" s="12"/>
      <c r="J2" s="12"/>
      <c r="K2" s="12"/>
    </row>
    <row r="3" spans="1:11">
      <c r="A3" s="26" t="s">
        <v>76</v>
      </c>
      <c r="B3" s="12"/>
      <c r="C3" s="12"/>
      <c r="D3" s="12"/>
      <c r="E3" s="12"/>
      <c r="F3" s="12"/>
      <c r="G3" s="12"/>
      <c r="H3" s="12"/>
      <c r="I3" s="12"/>
      <c r="J3" s="12"/>
      <c r="K3" s="12"/>
    </row>
    <row r="4" spans="1:11">
      <c r="A4" s="26"/>
      <c r="B4" s="12"/>
      <c r="C4" s="12"/>
      <c r="D4" s="12"/>
      <c r="E4" s="12"/>
      <c r="F4" s="12"/>
      <c r="G4" s="12"/>
      <c r="H4" s="12"/>
      <c r="I4" s="12"/>
      <c r="J4" s="12"/>
      <c r="K4" s="12"/>
    </row>
    <row r="5" spans="1:11" ht="15.75" thickBot="1">
      <c r="A5" s="12"/>
      <c r="B5" s="12"/>
      <c r="C5" s="12"/>
      <c r="D5" s="12"/>
      <c r="E5" s="12"/>
      <c r="F5" s="27" t="s">
        <v>0</v>
      </c>
      <c r="G5" s="27"/>
      <c r="H5" s="12"/>
      <c r="I5" s="12"/>
      <c r="J5" s="12"/>
      <c r="K5" s="12"/>
    </row>
    <row r="6" spans="1:11" ht="18.75" thickBot="1">
      <c r="A6" s="279" t="str">
        <f>+'S&amp;D'!A12</f>
        <v>Electric Wholesale (non-regulated) Power Generator</v>
      </c>
      <c r="B6" s="207"/>
      <c r="C6" s="12"/>
      <c r="D6" s="29"/>
      <c r="E6" s="29"/>
      <c r="F6" s="29"/>
      <c r="G6" s="12"/>
      <c r="H6" s="12"/>
      <c r="I6" s="12"/>
      <c r="J6" s="12"/>
      <c r="K6" s="12"/>
    </row>
    <row r="7" spans="1:11" ht="20.25">
      <c r="A7" s="31"/>
      <c r="B7" s="12"/>
      <c r="C7" s="12"/>
      <c r="D7" s="12"/>
      <c r="E7" s="32" t="s">
        <v>209</v>
      </c>
      <c r="F7" s="12"/>
      <c r="G7" s="12"/>
      <c r="H7" s="12"/>
      <c r="I7" s="12"/>
      <c r="J7" s="12"/>
      <c r="K7" s="12"/>
    </row>
    <row r="8" spans="1:11" ht="15.75" thickBot="1">
      <c r="A8" s="41" t="s">
        <v>0</v>
      </c>
      <c r="B8" s="41" t="s">
        <v>0</v>
      </c>
      <c r="C8" s="41" t="s">
        <v>0</v>
      </c>
      <c r="D8" s="34" t="s">
        <v>0</v>
      </c>
      <c r="E8" s="33" t="s">
        <v>90</v>
      </c>
      <c r="F8" s="34" t="s">
        <v>0</v>
      </c>
      <c r="G8" s="41"/>
      <c r="H8" s="41" t="s">
        <v>0</v>
      </c>
      <c r="I8" s="41" t="s">
        <v>0</v>
      </c>
      <c r="J8" s="12"/>
      <c r="K8" s="12"/>
    </row>
    <row r="9" spans="1:11">
      <c r="A9" s="41"/>
      <c r="B9" s="41"/>
      <c r="H9" s="41"/>
      <c r="I9" s="41"/>
      <c r="J9" s="12"/>
      <c r="K9" s="12"/>
    </row>
    <row r="10" spans="1:11">
      <c r="A10" s="41"/>
      <c r="B10" s="41"/>
      <c r="H10" s="41"/>
      <c r="I10" s="41"/>
      <c r="J10" s="12"/>
      <c r="K10" s="12"/>
    </row>
    <row r="11" spans="1:11">
      <c r="A11" s="41"/>
      <c r="B11" s="41"/>
      <c r="E11" t="s">
        <v>0</v>
      </c>
      <c r="H11" s="41"/>
      <c r="I11" s="41"/>
      <c r="J11" s="12"/>
      <c r="K11" s="12"/>
    </row>
    <row r="12" spans="1:11" ht="15.75" thickBot="1">
      <c r="A12" s="34"/>
      <c r="B12" s="34"/>
      <c r="C12" s="161"/>
      <c r="D12" s="161"/>
      <c r="E12" s="161"/>
      <c r="F12" s="161"/>
      <c r="G12" s="161"/>
      <c r="H12" s="34"/>
      <c r="I12" s="34"/>
      <c r="J12" s="29"/>
      <c r="K12" s="12"/>
    </row>
    <row r="13" spans="1:11" ht="11.25" customHeight="1" thickBot="1">
      <c r="A13" s="34" t="s">
        <v>24</v>
      </c>
      <c r="B13" s="34" t="s">
        <v>105</v>
      </c>
      <c r="C13" s="34" t="s">
        <v>106</v>
      </c>
      <c r="D13" s="42" t="s">
        <v>107</v>
      </c>
      <c r="E13" s="34" t="s">
        <v>108</v>
      </c>
      <c r="F13" s="34" t="s">
        <v>109</v>
      </c>
      <c r="G13" s="34" t="s">
        <v>110</v>
      </c>
      <c r="H13" s="34" t="s">
        <v>111</v>
      </c>
      <c r="I13" s="34" t="s">
        <v>112</v>
      </c>
      <c r="J13" s="34" t="s">
        <v>113</v>
      </c>
      <c r="K13" s="12"/>
    </row>
    <row r="14" spans="1:11">
      <c r="A14" s="35" t="s">
        <v>0</v>
      </c>
      <c r="B14" s="35" t="s">
        <v>3</v>
      </c>
      <c r="C14" s="35" t="s">
        <v>100</v>
      </c>
      <c r="D14" s="35" t="s">
        <v>133</v>
      </c>
      <c r="E14" s="35" t="s">
        <v>134</v>
      </c>
      <c r="F14" s="35" t="s">
        <v>133</v>
      </c>
      <c r="G14" s="35" t="s">
        <v>134</v>
      </c>
      <c r="H14" s="35" t="s">
        <v>19</v>
      </c>
      <c r="I14" s="35" t="s">
        <v>135</v>
      </c>
      <c r="J14" s="35" t="s">
        <v>147</v>
      </c>
      <c r="K14" s="12"/>
    </row>
    <row r="15" spans="1:11" ht="15.75" thickBot="1">
      <c r="A15" s="37" t="s">
        <v>2</v>
      </c>
      <c r="B15" s="37" t="s">
        <v>4</v>
      </c>
      <c r="C15" s="37" t="s">
        <v>132</v>
      </c>
      <c r="D15" s="37" t="s">
        <v>99</v>
      </c>
      <c r="E15" s="37" t="s">
        <v>99</v>
      </c>
      <c r="F15" s="37" t="s">
        <v>100</v>
      </c>
      <c r="G15" s="37" t="s">
        <v>100</v>
      </c>
      <c r="H15" s="37" t="s">
        <v>133</v>
      </c>
      <c r="I15" s="37" t="s">
        <v>136</v>
      </c>
      <c r="J15" s="37" t="s">
        <v>146</v>
      </c>
      <c r="K15" s="12"/>
    </row>
    <row r="16" spans="1:11">
      <c r="A16" s="43" t="s">
        <v>7</v>
      </c>
      <c r="B16" s="43" t="s">
        <v>7</v>
      </c>
      <c r="C16" s="43" t="s">
        <v>149</v>
      </c>
      <c r="D16" s="43" t="s">
        <v>149</v>
      </c>
      <c r="E16" s="43" t="s">
        <v>149</v>
      </c>
      <c r="F16" s="43" t="s">
        <v>149</v>
      </c>
      <c r="G16" s="43" t="s">
        <v>149</v>
      </c>
      <c r="H16" s="43" t="s">
        <v>138</v>
      </c>
      <c r="I16" s="43" t="s">
        <v>137</v>
      </c>
      <c r="J16" s="43" t="s">
        <v>115</v>
      </c>
      <c r="K16" s="12"/>
    </row>
    <row r="17" spans="1:16">
      <c r="A17" s="35"/>
      <c r="B17" s="35"/>
      <c r="C17" s="35"/>
      <c r="D17" s="35"/>
      <c r="E17" s="35"/>
      <c r="F17" s="35"/>
      <c r="G17" s="35"/>
      <c r="H17" s="35"/>
      <c r="I17" s="35"/>
      <c r="J17" s="35"/>
      <c r="K17" s="12"/>
    </row>
    <row r="18" spans="1:16">
      <c r="A18" s="12"/>
      <c r="B18" s="12"/>
      <c r="C18" s="12"/>
      <c r="D18" s="12"/>
      <c r="E18" s="12"/>
      <c r="F18" s="12"/>
      <c r="G18" s="12"/>
      <c r="H18" s="12"/>
      <c r="I18" s="12"/>
      <c r="J18" s="12"/>
      <c r="K18" s="12"/>
    </row>
    <row r="19" spans="1:16" ht="15.75">
      <c r="A19" s="64" t="str">
        <f>+'S&amp;D'!A22</f>
        <v>AES CORPORATION</v>
      </c>
      <c r="B19" s="91" t="str">
        <f>+'S&amp;D'!B22</f>
        <v>AES</v>
      </c>
      <c r="C19" s="349">
        <v>1117000000</v>
      </c>
      <c r="D19" s="314">
        <v>16263741138</v>
      </c>
      <c r="E19" s="144">
        <v>18699000000</v>
      </c>
      <c r="F19" s="144">
        <f>+'S&amp;D'!H38</f>
        <v>22032000000</v>
      </c>
      <c r="G19" s="144">
        <f>+'S&amp;D'!J22</f>
        <v>23323000000</v>
      </c>
      <c r="H19" s="197">
        <f>(D19+F19)/2</f>
        <v>19147870569</v>
      </c>
      <c r="I19" s="67">
        <f>C19/H19</f>
        <v>5.8335468478066671E-2</v>
      </c>
      <c r="J19" s="46">
        <f>F19/G19</f>
        <v>0.94464691506238474</v>
      </c>
      <c r="K19" s="12"/>
      <c r="P19" t="s">
        <v>0</v>
      </c>
    </row>
    <row r="20" spans="1:16" ht="15.75">
      <c r="A20" s="64" t="str">
        <f>+'S&amp;D'!A23</f>
        <v>DOMINION ENERGY INC</v>
      </c>
      <c r="B20" s="91" t="str">
        <f>+'S&amp;D'!B23</f>
        <v>D</v>
      </c>
      <c r="C20" s="349">
        <v>966000000</v>
      </c>
      <c r="D20" s="314">
        <f>+E20*(42417/37382)</f>
        <v>43421201086.084213</v>
      </c>
      <c r="E20" s="144">
        <f>37426000000+841000000</f>
        <v>38267000000</v>
      </c>
      <c r="F20" s="144">
        <f>+'S&amp;D'!H39</f>
        <v>38789834425.403221</v>
      </c>
      <c r="G20" s="144">
        <f>+'S&amp;D'!J23</f>
        <v>42255000000</v>
      </c>
      <c r="H20" s="197">
        <f t="shared" ref="H20:H25" si="0">(D20+F20)/2</f>
        <v>41105517755.743713</v>
      </c>
      <c r="I20" s="67">
        <f t="shared" ref="I20:I25" si="1">C20/H20</f>
        <v>2.3500494647461772E-2</v>
      </c>
      <c r="J20" s="46">
        <f t="shared" ref="J20:J25" si="2">F20/G20</f>
        <v>0.91799395161290309</v>
      </c>
      <c r="K20" s="12"/>
    </row>
    <row r="21" spans="1:16" ht="15.75">
      <c r="A21" s="64" t="str">
        <f>+'S&amp;D'!A24</f>
        <v>EXELON CORPORATION</v>
      </c>
      <c r="B21" s="91" t="str">
        <f>+'S&amp;D'!B24</f>
        <v>EXC</v>
      </c>
      <c r="C21" s="349">
        <f>1422000000+25000000</f>
        <v>1447000000</v>
      </c>
      <c r="D21" s="314">
        <f>+E21*1.12801634</f>
        <v>37113993618.68</v>
      </c>
      <c r="E21" s="144">
        <f>30749000000+2153000000</f>
        <v>32902000000</v>
      </c>
      <c r="F21" s="144">
        <f>+'S&amp;D'!H40</f>
        <v>32568033015.05098</v>
      </c>
      <c r="G21" s="144">
        <f>+'S&amp;D'!J24</f>
        <v>37464000000</v>
      </c>
      <c r="H21" s="197">
        <f t="shared" si="0"/>
        <v>34841013316.865494</v>
      </c>
      <c r="I21" s="67">
        <f t="shared" si="1"/>
        <v>4.1531513071680681E-2</v>
      </c>
      <c r="J21" s="46">
        <f t="shared" si="2"/>
        <v>0.86931542320763877</v>
      </c>
      <c r="K21" s="12"/>
    </row>
    <row r="22" spans="1:16" ht="15.75">
      <c r="A22" s="64" t="str">
        <f>+'S&amp;D'!A25</f>
        <v>NEXTERA ENERGY INC</v>
      </c>
      <c r="B22" s="91" t="str">
        <f>+'S&amp;D'!B25</f>
        <v>NEE</v>
      </c>
      <c r="C22" s="349">
        <v>585000000</v>
      </c>
      <c r="D22" s="314">
        <v>57290000000</v>
      </c>
      <c r="E22" s="144">
        <v>52745000000</v>
      </c>
      <c r="F22" s="144">
        <f>+'S&amp;D'!H41</f>
        <v>57892000000</v>
      </c>
      <c r="G22" s="144">
        <f>+'S&amp;D'!J25</f>
        <v>61889000000</v>
      </c>
      <c r="H22" s="197">
        <f t="shared" ref="H22" si="3">(D22+F22)/2</f>
        <v>57591000000</v>
      </c>
      <c r="I22" s="360" t="s">
        <v>439</v>
      </c>
      <c r="J22" s="433" t="s">
        <v>439</v>
      </c>
      <c r="K22" s="12"/>
    </row>
    <row r="23" spans="1:16" ht="15.75">
      <c r="A23" s="64" t="str">
        <f>+'S&amp;D'!A26</f>
        <v>NRG ENERGY</v>
      </c>
      <c r="B23" s="91" t="str">
        <f>+'S&amp;D'!B26</f>
        <v>NRG</v>
      </c>
      <c r="C23" s="349">
        <v>417000000</v>
      </c>
      <c r="D23" s="314">
        <v>8254501244</v>
      </c>
      <c r="E23" s="144">
        <v>7970000000</v>
      </c>
      <c r="F23" s="144">
        <f>+'S&amp;D'!H42</f>
        <v>6956941467.0288963</v>
      </c>
      <c r="G23" s="144">
        <f>+'S&amp;D'!J26</f>
        <v>8039000000</v>
      </c>
      <c r="H23" s="197">
        <f t="shared" si="0"/>
        <v>7605721355.5144482</v>
      </c>
      <c r="I23" s="67">
        <f t="shared" si="1"/>
        <v>5.4827146631878453E-2</v>
      </c>
      <c r="J23" s="46">
        <f t="shared" si="2"/>
        <v>0.86539886391701659</v>
      </c>
      <c r="K23" s="12"/>
    </row>
    <row r="24" spans="1:16" ht="15.75">
      <c r="A24" s="64" t="str">
        <f>+'S&amp;D'!A27</f>
        <v>SOUTHERN COMPANY</v>
      </c>
      <c r="B24" s="91" t="str">
        <f>+'S&amp;D'!B27</f>
        <v>SO</v>
      </c>
      <c r="C24" s="349">
        <v>2022000000</v>
      </c>
      <c r="D24" s="314">
        <v>57293741138</v>
      </c>
      <c r="E24" s="144">
        <v>52277000000</v>
      </c>
      <c r="F24" s="144">
        <f>+'S&amp;D'!H43</f>
        <v>48903527472.527473</v>
      </c>
      <c r="G24" s="144">
        <f>+'S&amp;D'!J27</f>
        <v>54941000000</v>
      </c>
      <c r="H24" s="197">
        <f t="shared" si="0"/>
        <v>53098634305.263733</v>
      </c>
      <c r="I24" s="67">
        <f t="shared" si="1"/>
        <v>3.8080075438014734E-2</v>
      </c>
      <c r="J24" s="46">
        <f t="shared" si="2"/>
        <v>0.89010989010989017</v>
      </c>
      <c r="K24" s="12"/>
    </row>
    <row r="25" spans="1:16" ht="15.75">
      <c r="A25" s="64" t="str">
        <f>+'S&amp;D'!A28</f>
        <v>VISTRA ENERGY CORPORATION</v>
      </c>
      <c r="B25" s="91" t="str">
        <f>+'S&amp;D'!B28</f>
        <v>VST</v>
      </c>
      <c r="C25" s="349">
        <v>368000000</v>
      </c>
      <c r="D25" s="314">
        <v>10680783034</v>
      </c>
      <c r="E25" s="144">
        <f>10477000000+254000000</f>
        <v>10731000000</v>
      </c>
      <c r="F25" s="144">
        <f>+'S&amp;D'!H44</f>
        <v>11388000000</v>
      </c>
      <c r="G25" s="144">
        <f>+'S&amp;D'!J28</f>
        <v>11971000000</v>
      </c>
      <c r="H25" s="197">
        <f t="shared" si="0"/>
        <v>11034391517</v>
      </c>
      <c r="I25" s="67">
        <f t="shared" si="1"/>
        <v>3.3350275765822279E-2</v>
      </c>
      <c r="J25" s="46">
        <f t="shared" si="2"/>
        <v>0.95129897251691586</v>
      </c>
      <c r="K25" s="12"/>
    </row>
    <row r="26" spans="1:16" ht="15.75" thickBot="1">
      <c r="A26" s="12"/>
      <c r="B26" s="12"/>
      <c r="C26" s="47"/>
      <c r="D26" s="47"/>
      <c r="E26" s="47"/>
      <c r="F26" s="47"/>
      <c r="G26" s="47" t="s">
        <v>52</v>
      </c>
      <c r="H26" s="47"/>
      <c r="I26" s="47" t="s">
        <v>52</v>
      </c>
      <c r="J26" s="47"/>
      <c r="K26" s="12"/>
    </row>
    <row r="27" spans="1:16" ht="15.75" thickTop="1">
      <c r="A27" s="12"/>
      <c r="B27" s="12"/>
      <c r="C27" s="48" t="s">
        <v>0</v>
      </c>
      <c r="D27" s="48" t="s">
        <v>0</v>
      </c>
      <c r="E27" s="35" t="s">
        <v>0</v>
      </c>
      <c r="F27" s="35"/>
      <c r="G27" s="48" t="s">
        <v>0</v>
      </c>
      <c r="H27" s="14" t="s">
        <v>53</v>
      </c>
      <c r="I27" s="54">
        <v>5.8299999999999998E-2</v>
      </c>
      <c r="J27" s="321">
        <v>0.95979999999999999</v>
      </c>
      <c r="K27" s="12"/>
    </row>
    <row r="28" spans="1:16">
      <c r="A28" s="198" t="s">
        <v>86</v>
      </c>
      <c r="B28" s="12"/>
      <c r="C28" s="48"/>
      <c r="D28" s="48"/>
      <c r="E28" s="35"/>
      <c r="F28" s="35"/>
      <c r="G28" s="48"/>
      <c r="H28" s="14" t="s">
        <v>54</v>
      </c>
      <c r="I28" s="305">
        <v>1.0200000000000001E-2</v>
      </c>
      <c r="J28" s="354">
        <v>0.86539999999999995</v>
      </c>
      <c r="K28" s="12"/>
    </row>
    <row r="29" spans="1:16">
      <c r="A29" s="432" t="s">
        <v>288</v>
      </c>
      <c r="B29" s="12"/>
      <c r="C29" s="12"/>
      <c r="D29" s="12"/>
      <c r="E29" s="12"/>
      <c r="F29" s="12"/>
      <c r="G29" s="12"/>
      <c r="H29" s="14" t="s">
        <v>18</v>
      </c>
      <c r="I29" s="57">
        <f>MEDIAN(I19:I25)</f>
        <v>3.9805794254847704E-2</v>
      </c>
      <c r="J29" s="49">
        <f>MEDIAN(J19:J25)</f>
        <v>0.90405192086139663</v>
      </c>
      <c r="K29" s="12"/>
    </row>
    <row r="30" spans="1:16">
      <c r="A30" s="432" t="s">
        <v>255</v>
      </c>
      <c r="B30" s="12"/>
      <c r="C30" s="12"/>
      <c r="D30" s="12"/>
      <c r="E30" s="12"/>
      <c r="F30" s="12"/>
      <c r="G30" s="12"/>
      <c r="H30" s="14" t="s">
        <v>457</v>
      </c>
      <c r="I30" s="57">
        <f>AVERAGE(I19:I25)</f>
        <v>4.1604162338820763E-2</v>
      </c>
      <c r="J30" s="49">
        <f>AVERAGE(J19:J25)</f>
        <v>0.90646066940445813</v>
      </c>
      <c r="K30" s="12"/>
    </row>
    <row r="31" spans="1:16" ht="15.75" thickBot="1">
      <c r="A31" s="432" t="s">
        <v>500</v>
      </c>
      <c r="B31" s="12"/>
      <c r="C31" s="12"/>
      <c r="D31" s="12" t="s">
        <v>0</v>
      </c>
      <c r="E31" s="12"/>
      <c r="F31" s="12"/>
      <c r="G31" s="12"/>
      <c r="H31" s="12"/>
      <c r="I31" s="12"/>
      <c r="J31" s="13"/>
      <c r="K31" s="12"/>
    </row>
    <row r="32" spans="1:16" ht="21" thickBot="1">
      <c r="A32" s="12"/>
      <c r="B32" s="12"/>
      <c r="C32" s="12" t="s">
        <v>0</v>
      </c>
      <c r="D32" s="12" t="s">
        <v>0</v>
      </c>
      <c r="E32" s="12"/>
      <c r="F32" s="12"/>
      <c r="G32" s="202"/>
      <c r="H32" s="203" t="s">
        <v>261</v>
      </c>
      <c r="I32" s="415">
        <v>4.1599999999999998E-2</v>
      </c>
      <c r="J32" s="431">
        <f>+J30</f>
        <v>0.90646066940445813</v>
      </c>
      <c r="K32" s="12"/>
    </row>
    <row r="33" spans="1:11">
      <c r="A33" s="12"/>
      <c r="B33" s="12"/>
      <c r="C33" s="12"/>
      <c r="D33" s="12"/>
      <c r="E33" s="12"/>
      <c r="F33" s="12"/>
      <c r="G33" s="12"/>
      <c r="H33" s="12"/>
      <c r="I33" s="12"/>
      <c r="J33" s="12"/>
      <c r="K33" s="12"/>
    </row>
    <row r="34" spans="1:11">
      <c r="A34" s="12"/>
      <c r="B34" s="12"/>
      <c r="C34" s="12"/>
      <c r="D34" s="12"/>
      <c r="E34" s="12"/>
      <c r="F34" s="12"/>
      <c r="G34" s="12"/>
      <c r="H34" s="12"/>
      <c r="I34" s="12"/>
      <c r="J34" s="12"/>
      <c r="K34" s="12"/>
    </row>
  </sheetData>
  <pageMargins left="0.25" right="0.25" top="0.75" bottom="0.75" header="0.3" footer="0.3"/>
  <pageSetup scale="55"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M59"/>
  <sheetViews>
    <sheetView view="pageBreakPreview" zoomScale="60" zoomScaleNormal="80" workbookViewId="0">
      <selection activeCell="L40" sqref="L40"/>
    </sheetView>
  </sheetViews>
  <sheetFormatPr defaultRowHeight="15"/>
  <cols>
    <col min="1" max="1" width="52" customWidth="1"/>
    <col min="2" max="2" width="14.85546875" customWidth="1"/>
    <col min="3" max="3" width="23.85546875" customWidth="1"/>
    <col min="4" max="4" width="20.7109375" customWidth="1"/>
    <col min="5" max="5" width="21.85546875" customWidth="1"/>
    <col min="6" max="6" width="18" customWidth="1"/>
    <col min="7" max="7" width="12.28515625" customWidth="1"/>
    <col min="8" max="8" width="20.5703125" customWidth="1"/>
    <col min="9" max="9" width="12.42578125" customWidth="1"/>
    <col min="10" max="11" width="20.5703125" customWidth="1"/>
    <col min="12" max="12" width="26.5703125" customWidth="1"/>
    <col min="13" max="13" width="15.42578125" customWidth="1"/>
  </cols>
  <sheetData>
    <row r="1" spans="1:13" ht="20.25">
      <c r="A1" s="24" t="s">
        <v>1</v>
      </c>
      <c r="B1" s="12"/>
      <c r="C1" s="12"/>
      <c r="D1" s="12"/>
      <c r="E1" s="12"/>
      <c r="F1" s="12"/>
      <c r="G1" s="12"/>
      <c r="H1" s="12"/>
      <c r="I1" s="12"/>
      <c r="J1" s="12"/>
      <c r="K1" s="12"/>
      <c r="L1" s="12"/>
      <c r="M1" s="12"/>
    </row>
    <row r="2" spans="1:13" ht="15.75">
      <c r="A2" s="25" t="s">
        <v>9</v>
      </c>
      <c r="B2" s="12"/>
      <c r="C2" s="12"/>
      <c r="D2" s="12"/>
      <c r="E2" s="12"/>
      <c r="F2" s="12"/>
      <c r="G2" s="12"/>
      <c r="H2" s="12"/>
      <c r="I2" s="12"/>
      <c r="J2" s="12"/>
      <c r="K2" s="12"/>
      <c r="L2" s="12"/>
      <c r="M2" s="12"/>
    </row>
    <row r="3" spans="1:13">
      <c r="A3" s="26" t="s">
        <v>76</v>
      </c>
      <c r="B3" s="12"/>
      <c r="C3" s="12"/>
      <c r="D3" s="12"/>
      <c r="E3" s="12"/>
      <c r="F3" s="12"/>
      <c r="G3" s="12"/>
      <c r="H3" s="12"/>
      <c r="I3" s="12"/>
      <c r="J3" s="12"/>
      <c r="K3" s="12"/>
      <c r="L3" s="12"/>
      <c r="M3" s="12"/>
    </row>
    <row r="4" spans="1:13">
      <c r="A4" s="26"/>
      <c r="B4" s="12"/>
      <c r="C4" s="12"/>
      <c r="D4" s="12"/>
      <c r="E4" s="12"/>
      <c r="F4" s="12"/>
      <c r="G4" s="12"/>
      <c r="H4" s="12"/>
      <c r="I4" s="12"/>
      <c r="J4" s="12"/>
      <c r="K4" s="12"/>
      <c r="L4" s="12"/>
      <c r="M4" s="12"/>
    </row>
    <row r="5" spans="1:13" ht="15.75" thickBot="1">
      <c r="A5" s="12"/>
      <c r="B5" s="12"/>
      <c r="C5" s="12"/>
      <c r="D5" s="12"/>
      <c r="E5" s="12"/>
      <c r="F5" s="12"/>
      <c r="G5" s="27"/>
      <c r="H5" s="27"/>
      <c r="I5" s="12"/>
      <c r="J5" s="12"/>
      <c r="K5" s="12"/>
      <c r="L5" s="12"/>
      <c r="M5" s="12"/>
    </row>
    <row r="6" spans="1:13" ht="18.75" thickBot="1">
      <c r="A6" s="279" t="str">
        <f>+'S&amp;D'!A12</f>
        <v>Electric Wholesale (non-regulated) Power Generator</v>
      </c>
      <c r="B6" s="207"/>
      <c r="C6" s="12"/>
      <c r="D6" s="29"/>
      <c r="E6" s="29"/>
      <c r="F6" s="30" t="s">
        <v>0</v>
      </c>
      <c r="G6" s="12"/>
      <c r="H6" s="12"/>
      <c r="I6" s="12"/>
      <c r="J6" s="12"/>
      <c r="K6" s="12"/>
      <c r="L6" s="12"/>
      <c r="M6" s="12"/>
    </row>
    <row r="7" spans="1:13" ht="20.25">
      <c r="A7" s="31"/>
      <c r="B7" s="12"/>
      <c r="C7" s="12"/>
      <c r="D7" s="12"/>
      <c r="E7" s="32" t="s">
        <v>145</v>
      </c>
      <c r="F7" s="12"/>
      <c r="G7" s="12"/>
      <c r="H7" s="12"/>
      <c r="I7" s="12"/>
      <c r="J7" s="12"/>
      <c r="K7" s="12"/>
      <c r="L7" s="12"/>
      <c r="M7" s="12"/>
    </row>
    <row r="8" spans="1:13" ht="18.75" thickBot="1">
      <c r="A8" s="31"/>
      <c r="B8" s="12"/>
      <c r="C8" s="12"/>
      <c r="D8" s="29"/>
      <c r="E8" s="33" t="s">
        <v>90</v>
      </c>
      <c r="F8" s="29"/>
      <c r="G8" s="12"/>
      <c r="H8" s="12"/>
      <c r="I8" s="12"/>
      <c r="J8" s="12"/>
      <c r="K8" s="12"/>
      <c r="L8" s="12"/>
      <c r="M8" s="12"/>
    </row>
    <row r="9" spans="1:13" ht="15.75" thickBot="1">
      <c r="A9" s="34" t="s">
        <v>0</v>
      </c>
      <c r="B9" s="34" t="s">
        <v>0</v>
      </c>
      <c r="C9" s="34" t="s">
        <v>0</v>
      </c>
      <c r="D9" s="34" t="s">
        <v>0</v>
      </c>
      <c r="E9" s="34" t="s">
        <v>0</v>
      </c>
      <c r="F9" s="34" t="s">
        <v>0</v>
      </c>
      <c r="G9" s="34"/>
      <c r="H9" s="34"/>
      <c r="I9" s="34" t="s">
        <v>0</v>
      </c>
      <c r="J9" s="29"/>
      <c r="K9" s="12"/>
      <c r="L9" s="12"/>
      <c r="M9" s="12"/>
    </row>
    <row r="10" spans="1:13">
      <c r="A10" s="35" t="s">
        <v>0</v>
      </c>
      <c r="B10" s="35" t="s">
        <v>3</v>
      </c>
      <c r="C10" s="35" t="s">
        <v>5</v>
      </c>
      <c r="D10" s="35" t="s">
        <v>21</v>
      </c>
      <c r="E10" s="35" t="s">
        <v>20</v>
      </c>
      <c r="F10" s="35" t="s">
        <v>60</v>
      </c>
      <c r="G10" s="35" t="s">
        <v>148</v>
      </c>
      <c r="H10" s="35" t="s">
        <v>56</v>
      </c>
      <c r="I10" s="35" t="s">
        <v>148</v>
      </c>
      <c r="J10" s="35" t="s">
        <v>56</v>
      </c>
      <c r="K10" s="12"/>
      <c r="L10" s="12"/>
      <c r="M10" s="12"/>
    </row>
    <row r="11" spans="1:13" ht="15.75" thickBot="1">
      <c r="A11" s="37" t="s">
        <v>2</v>
      </c>
      <c r="B11" s="37" t="s">
        <v>4</v>
      </c>
      <c r="C11" s="37" t="s">
        <v>6</v>
      </c>
      <c r="D11" s="37" t="s">
        <v>23</v>
      </c>
      <c r="E11" s="37" t="s">
        <v>22</v>
      </c>
      <c r="F11" s="37" t="s">
        <v>57</v>
      </c>
      <c r="G11" s="37" t="s">
        <v>57</v>
      </c>
      <c r="H11" s="37" t="s">
        <v>57</v>
      </c>
      <c r="I11" s="37" t="s">
        <v>57</v>
      </c>
      <c r="J11" s="37" t="s">
        <v>58</v>
      </c>
      <c r="K11" s="12"/>
      <c r="L11" s="12"/>
      <c r="M11" s="12"/>
    </row>
    <row r="12" spans="1:13">
      <c r="A12" s="39" t="s">
        <v>7</v>
      </c>
      <c r="B12" s="39" t="s">
        <v>7</v>
      </c>
      <c r="C12" s="39" t="s">
        <v>7</v>
      </c>
      <c r="D12" s="39" t="s">
        <v>7</v>
      </c>
      <c r="E12" s="39" t="s">
        <v>7</v>
      </c>
      <c r="F12" s="39" t="s">
        <v>59</v>
      </c>
      <c r="G12" s="39"/>
      <c r="H12" s="39" t="s">
        <v>56</v>
      </c>
      <c r="I12" s="39"/>
      <c r="J12" s="39" t="s">
        <v>56</v>
      </c>
      <c r="K12" s="12"/>
      <c r="L12" s="12"/>
      <c r="M12" s="12"/>
    </row>
    <row r="13" spans="1:13">
      <c r="A13" s="35"/>
      <c r="B13" s="35"/>
      <c r="C13" s="35"/>
      <c r="D13" s="35"/>
      <c r="E13" s="35"/>
      <c r="F13" s="35"/>
      <c r="G13" s="35"/>
      <c r="H13" s="35"/>
      <c r="I13" s="35"/>
      <c r="J13" s="35"/>
      <c r="K13" s="12"/>
      <c r="L13" s="12"/>
      <c r="M13" s="12"/>
    </row>
    <row r="14" spans="1:13">
      <c r="A14" s="12"/>
      <c r="B14" s="12"/>
      <c r="C14" s="12"/>
      <c r="D14" s="12"/>
      <c r="E14" s="12"/>
      <c r="F14" s="12"/>
      <c r="G14" s="12"/>
      <c r="H14" s="12"/>
      <c r="I14" s="12"/>
      <c r="J14" s="12"/>
      <c r="K14" s="12"/>
      <c r="L14" s="12"/>
      <c r="M14" s="12"/>
    </row>
    <row r="15" spans="1:13" ht="15.75">
      <c r="A15" s="64" t="str">
        <f>+'S&amp;D'!A22</f>
        <v>AES CORPORATION</v>
      </c>
      <c r="B15" s="91" t="str">
        <f>+'S&amp;D'!B22</f>
        <v>AES</v>
      </c>
      <c r="C15" s="91" t="str">
        <f>+'S&amp;D'!C22</f>
        <v>Power Wholesale</v>
      </c>
      <c r="D15" s="344" t="str">
        <f>+'Beta for CAPM'!D18</f>
        <v>nmf</v>
      </c>
      <c r="E15" s="35" t="str">
        <f>+'Beta for CAPM'!G18</f>
        <v>B</v>
      </c>
      <c r="F15" s="35" t="s">
        <v>73</v>
      </c>
      <c r="G15" s="306">
        <v>12</v>
      </c>
      <c r="H15" s="63" t="s">
        <v>71</v>
      </c>
      <c r="I15" s="306">
        <v>12</v>
      </c>
      <c r="J15" s="67">
        <v>5.9700000000000003E-2</v>
      </c>
      <c r="K15" s="12" t="s">
        <v>0</v>
      </c>
      <c r="L15" s="12"/>
      <c r="M15" s="12"/>
    </row>
    <row r="16" spans="1:13" ht="15.75">
      <c r="A16" s="64" t="str">
        <f>+'S&amp;D'!A23</f>
        <v>DOMINION ENERGY INC</v>
      </c>
      <c r="B16" s="91" t="str">
        <f>+'S&amp;D'!B23</f>
        <v>D</v>
      </c>
      <c r="C16" s="91" t="str">
        <f>+'S&amp;D'!C23</f>
        <v>Power Wholesale</v>
      </c>
      <c r="D16" s="55">
        <f>+'Beta for CAPM'!D19</f>
        <v>0.17</v>
      </c>
      <c r="E16" s="35" t="str">
        <f>+'Beta for CAPM'!G19</f>
        <v>B++</v>
      </c>
      <c r="F16" s="35" t="s">
        <v>65</v>
      </c>
      <c r="G16" s="306">
        <v>11</v>
      </c>
      <c r="H16" s="63" t="s">
        <v>63</v>
      </c>
      <c r="I16" s="306">
        <v>11</v>
      </c>
      <c r="J16" s="67">
        <v>5.9700000000000003E-2</v>
      </c>
      <c r="K16" s="12" t="s">
        <v>0</v>
      </c>
      <c r="L16" s="12"/>
      <c r="M16" s="12"/>
    </row>
    <row r="17" spans="1:13" ht="15.75">
      <c r="A17" s="64" t="str">
        <f>+'S&amp;D'!A24</f>
        <v>EXELON CORPORATION</v>
      </c>
      <c r="B17" s="91" t="str">
        <f>+'S&amp;D'!B24</f>
        <v>EXC</v>
      </c>
      <c r="C17" s="91" t="str">
        <f>+'S&amp;D'!C24</f>
        <v>Power Wholesale</v>
      </c>
      <c r="D17" s="55">
        <f>+'Beta for CAPM'!D20</f>
        <v>0.13500000000000001</v>
      </c>
      <c r="E17" s="35" t="str">
        <f>+'Beta for CAPM'!G20</f>
        <v>B++</v>
      </c>
      <c r="F17" s="35" t="s">
        <v>64</v>
      </c>
      <c r="G17" s="306">
        <v>10</v>
      </c>
      <c r="H17" s="63" t="s">
        <v>63</v>
      </c>
      <c r="I17" s="306">
        <v>11</v>
      </c>
      <c r="J17" s="67">
        <v>5.9700000000000003E-2</v>
      </c>
      <c r="K17" s="12" t="s">
        <v>0</v>
      </c>
      <c r="L17" s="12"/>
      <c r="M17" s="12"/>
    </row>
    <row r="18" spans="1:13" ht="15.75">
      <c r="A18" s="64" t="str">
        <f>+'S&amp;D'!A25</f>
        <v>NEXTERA ENERGY INC</v>
      </c>
      <c r="B18" s="91" t="str">
        <f>+'S&amp;D'!B25</f>
        <v>NEE</v>
      </c>
      <c r="C18" s="91" t="str">
        <f>+'S&amp;D'!C25</f>
        <v>Power Wholesale</v>
      </c>
      <c r="D18" s="55">
        <f>+'Beta for CAPM'!D21</f>
        <v>0.182</v>
      </c>
      <c r="E18" s="35" t="str">
        <f>+'Beta for CAPM'!G21</f>
        <v>A+</v>
      </c>
      <c r="F18" s="35" t="s">
        <v>72</v>
      </c>
      <c r="G18" s="306">
        <v>9</v>
      </c>
      <c r="H18" s="63" t="s">
        <v>62</v>
      </c>
      <c r="I18" s="306">
        <v>10</v>
      </c>
      <c r="J18" s="67">
        <v>5.9700000000000003E-2</v>
      </c>
      <c r="K18" s="12" t="s">
        <v>0</v>
      </c>
      <c r="L18" s="12"/>
      <c r="M18" s="12"/>
    </row>
    <row r="19" spans="1:13" ht="15.75">
      <c r="A19" s="64" t="str">
        <f>+'S&amp;D'!A26</f>
        <v>NRG ENERGY</v>
      </c>
      <c r="B19" s="91" t="str">
        <f>+'S&amp;D'!B26</f>
        <v>NRG</v>
      </c>
      <c r="C19" s="91" t="str">
        <f>+'S&amp;D'!C26</f>
        <v>Power Wholesale</v>
      </c>
      <c r="D19" s="55">
        <f>+'Beta for CAPM'!D22</f>
        <v>0.26500000000000001</v>
      </c>
      <c r="E19" s="35" t="str">
        <f>+'Beta for CAPM'!G22</f>
        <v>B+</v>
      </c>
      <c r="F19" s="35" t="s">
        <v>349</v>
      </c>
      <c r="G19" s="306">
        <v>14</v>
      </c>
      <c r="H19" s="63" t="s">
        <v>69</v>
      </c>
      <c r="I19" s="306">
        <v>13</v>
      </c>
      <c r="J19" s="67">
        <v>7.4399999999999994E-2</v>
      </c>
      <c r="K19" s="12" t="s">
        <v>0</v>
      </c>
      <c r="L19" s="12"/>
      <c r="M19" s="12"/>
    </row>
    <row r="20" spans="1:13" ht="15.75">
      <c r="A20" s="64" t="str">
        <f>+'S&amp;D'!A27</f>
        <v>SOUTHERN COMPANY</v>
      </c>
      <c r="B20" s="91" t="str">
        <f>+'S&amp;D'!B27</f>
        <v>SO</v>
      </c>
      <c r="C20" s="91" t="str">
        <f>+'S&amp;D'!C27</f>
        <v>Power Wholesale</v>
      </c>
      <c r="D20" s="55">
        <f>+'Beta for CAPM'!D23</f>
        <v>0.15</v>
      </c>
      <c r="E20" s="35" t="str">
        <f>+'Beta for CAPM'!G23</f>
        <v>A</v>
      </c>
      <c r="F20" s="35" t="s">
        <v>64</v>
      </c>
      <c r="G20" s="306">
        <v>10</v>
      </c>
      <c r="H20" s="63" t="s">
        <v>63</v>
      </c>
      <c r="I20" s="306">
        <v>11</v>
      </c>
      <c r="J20" s="67">
        <v>5.9700000000000003E-2</v>
      </c>
      <c r="K20" s="12" t="s">
        <v>0</v>
      </c>
      <c r="L20" s="12"/>
      <c r="M20" s="12"/>
    </row>
    <row r="21" spans="1:13" ht="15.75">
      <c r="A21" s="64" t="str">
        <f>+'S&amp;D'!A28</f>
        <v>VISTRA ENERGY CORPORATION</v>
      </c>
      <c r="B21" s="91" t="str">
        <f>+'S&amp;D'!B28</f>
        <v>VST</v>
      </c>
      <c r="C21" s="91" t="str">
        <f>+'S&amp;D'!C28</f>
        <v>Power Wholesale</v>
      </c>
      <c r="D21" s="55">
        <f>+'Beta for CAPM'!D24</f>
        <v>0.23</v>
      </c>
      <c r="E21" s="35" t="str">
        <f>+'Beta for CAPM'!G24</f>
        <v>B+</v>
      </c>
      <c r="F21" s="35" t="s">
        <v>349</v>
      </c>
      <c r="G21" s="306">
        <v>14</v>
      </c>
      <c r="H21" s="63" t="s">
        <v>69</v>
      </c>
      <c r="I21" s="306">
        <v>13</v>
      </c>
      <c r="J21" s="67">
        <v>7.4399999999999994E-2</v>
      </c>
      <c r="K21" s="12" t="s">
        <v>0</v>
      </c>
      <c r="L21" s="12"/>
      <c r="M21" s="12"/>
    </row>
    <row r="22" spans="1:13" ht="15.75" thickBot="1">
      <c r="A22" s="12"/>
      <c r="B22" s="12"/>
      <c r="C22" s="44"/>
      <c r="D22" s="47"/>
      <c r="E22" s="47"/>
      <c r="F22" s="47"/>
      <c r="G22" s="301"/>
      <c r="H22" s="47" t="s">
        <v>52</v>
      </c>
      <c r="I22" s="47"/>
      <c r="J22" s="47"/>
      <c r="K22" s="12"/>
      <c r="L22" s="12"/>
      <c r="M22" s="12"/>
    </row>
    <row r="23" spans="1:13" ht="15.75" thickTop="1">
      <c r="A23" s="12"/>
      <c r="B23" s="12"/>
      <c r="E23" s="14" t="s">
        <v>53</v>
      </c>
      <c r="F23" s="35"/>
      <c r="G23" s="300">
        <v>14</v>
      </c>
      <c r="I23" s="300">
        <v>13</v>
      </c>
      <c r="J23" s="54">
        <v>7.4399999999999994E-2</v>
      </c>
      <c r="K23" s="12"/>
      <c r="L23" s="12"/>
      <c r="M23" s="12"/>
    </row>
    <row r="24" spans="1:13">
      <c r="A24" s="12"/>
      <c r="B24" s="12"/>
      <c r="E24" s="303" t="s">
        <v>54</v>
      </c>
      <c r="F24" s="133"/>
      <c r="G24" s="304">
        <v>10</v>
      </c>
      <c r="H24" s="260"/>
      <c r="I24" s="304">
        <v>11</v>
      </c>
      <c r="J24" s="305">
        <v>5.9700000000000003E-2</v>
      </c>
      <c r="K24" s="12"/>
      <c r="L24" s="12"/>
      <c r="M24" s="12"/>
    </row>
    <row r="25" spans="1:13">
      <c r="A25" s="12"/>
      <c r="B25" s="12"/>
      <c r="E25" s="14" t="s">
        <v>18</v>
      </c>
      <c r="F25" s="57" t="s">
        <v>0</v>
      </c>
      <c r="G25" s="233">
        <f>MEDIAN(G15:G21)</f>
        <v>11</v>
      </c>
      <c r="I25" s="233">
        <f>MEDIAN(I15:I21)</f>
        <v>11</v>
      </c>
      <c r="J25" s="57">
        <f>MEDIAN(J15:J21)</f>
        <v>5.9700000000000003E-2</v>
      </c>
      <c r="K25" s="12"/>
      <c r="L25" s="12"/>
      <c r="M25" s="12"/>
    </row>
    <row r="26" spans="1:13">
      <c r="A26" s="12"/>
      <c r="B26" s="12"/>
      <c r="D26" s="14" t="s">
        <v>0</v>
      </c>
      <c r="E26" s="14" t="s">
        <v>457</v>
      </c>
      <c r="F26" s="14"/>
      <c r="G26" s="234">
        <f>AVERAGE(G15:G21)</f>
        <v>11.428571428571429</v>
      </c>
      <c r="I26" s="234">
        <f>AVERAGE(I15:I21)</f>
        <v>11.571428571428571</v>
      </c>
      <c r="J26" s="57">
        <f>AVERAGE(J15:J21)</f>
        <v>6.3899999999999998E-2</v>
      </c>
      <c r="K26" s="12"/>
      <c r="L26" s="12"/>
      <c r="M26" s="12"/>
    </row>
    <row r="27" spans="1:13">
      <c r="A27" s="12"/>
      <c r="B27" s="12"/>
      <c r="D27" s="58" t="s">
        <v>0</v>
      </c>
      <c r="E27" s="14" t="s">
        <v>458</v>
      </c>
      <c r="F27" s="14"/>
      <c r="G27" s="234">
        <f>HARMEAN(G15:G21)</f>
        <v>11.142758699896634</v>
      </c>
      <c r="I27" s="234">
        <f>HARMEAN(I15:I21)</f>
        <v>11.477164150582842</v>
      </c>
      <c r="J27" s="57">
        <f>HARMEAN(J15:J21)</f>
        <v>6.3271794871794879E-2</v>
      </c>
      <c r="K27" s="12"/>
      <c r="L27" s="12"/>
      <c r="M27" s="12"/>
    </row>
    <row r="28" spans="1:13" ht="15.75" thickBot="1">
      <c r="A28" s="12"/>
      <c r="B28" s="12"/>
      <c r="C28" s="12"/>
      <c r="D28" s="12"/>
      <c r="E28" s="14"/>
      <c r="F28" s="58"/>
      <c r="G28" s="12"/>
      <c r="H28" s="12"/>
      <c r="I28" s="12"/>
      <c r="J28" s="12"/>
      <c r="K28" s="12"/>
      <c r="L28" s="12"/>
      <c r="M28" s="12"/>
    </row>
    <row r="29" spans="1:13" ht="21" thickBot="1">
      <c r="A29" s="12"/>
      <c r="B29" s="12"/>
      <c r="C29" s="12"/>
      <c r="D29" s="12"/>
      <c r="E29" s="12"/>
      <c r="F29" s="202"/>
      <c r="G29" s="302"/>
      <c r="H29" s="203" t="s">
        <v>261</v>
      </c>
      <c r="I29" s="345">
        <v>12</v>
      </c>
      <c r="J29" s="415">
        <v>6.3899999999999998E-2</v>
      </c>
      <c r="K29" s="12"/>
      <c r="L29" s="12"/>
      <c r="M29" s="12"/>
    </row>
    <row r="30" spans="1:13">
      <c r="A30" s="12"/>
      <c r="B30" s="12"/>
      <c r="C30" s="12"/>
      <c r="D30" s="12"/>
      <c r="E30" s="12"/>
      <c r="F30" s="12"/>
      <c r="G30" s="12"/>
      <c r="H30" s="12"/>
      <c r="I30" s="12"/>
      <c r="J30" s="12"/>
      <c r="K30" s="12"/>
      <c r="L30" s="12"/>
      <c r="M30" s="12"/>
    </row>
    <row r="31" spans="1:13">
      <c r="A31" s="12"/>
      <c r="B31" s="12"/>
      <c r="C31" s="12"/>
      <c r="D31" s="12"/>
      <c r="E31" s="12"/>
      <c r="F31" s="12"/>
      <c r="G31" s="12"/>
      <c r="H31" s="12"/>
      <c r="I31" s="12"/>
      <c r="J31" s="12"/>
      <c r="K31" s="12"/>
      <c r="L31" s="12"/>
      <c r="M31" s="12"/>
    </row>
    <row r="32" spans="1:13">
      <c r="A32" s="12"/>
      <c r="B32" s="12"/>
      <c r="C32" s="12"/>
      <c r="D32" s="12"/>
      <c r="E32" s="12"/>
      <c r="F32" s="12"/>
      <c r="G32" s="12"/>
      <c r="H32" s="12"/>
      <c r="I32" s="12"/>
      <c r="J32" s="12"/>
      <c r="K32" s="12"/>
      <c r="L32" s="12"/>
      <c r="M32" s="12"/>
    </row>
    <row r="33" spans="1:13" ht="18.75" thickBot="1">
      <c r="A33" s="290" t="s">
        <v>162</v>
      </c>
      <c r="B33" s="12"/>
      <c r="G33" s="12"/>
      <c r="H33" s="12"/>
      <c r="I33" s="12"/>
      <c r="J33" s="12"/>
      <c r="K33" s="12" t="s">
        <v>0</v>
      </c>
      <c r="L33" s="12"/>
      <c r="M33" s="12"/>
    </row>
    <row r="34" spans="1:13" ht="18.75" thickBot="1">
      <c r="A34" s="385" t="s">
        <v>460</v>
      </c>
      <c r="B34" s="385" t="s">
        <v>356</v>
      </c>
      <c r="C34" s="385" t="s">
        <v>461</v>
      </c>
      <c r="D34" s="386" t="s">
        <v>462</v>
      </c>
      <c r="E34" s="386" t="s">
        <v>463</v>
      </c>
      <c r="F34" s="12"/>
      <c r="G34" s="12"/>
      <c r="H34" s="12"/>
      <c r="I34" s="12"/>
      <c r="M34" s="12"/>
    </row>
    <row r="35" spans="1:13" ht="15.75">
      <c r="A35" s="295" t="s">
        <v>361</v>
      </c>
      <c r="B35" s="296">
        <v>1</v>
      </c>
      <c r="C35" s="297" t="s">
        <v>362</v>
      </c>
      <c r="D35" s="387" t="s">
        <v>0</v>
      </c>
      <c r="E35" s="387" t="s">
        <v>0</v>
      </c>
      <c r="F35" s="12"/>
      <c r="G35" s="12"/>
      <c r="H35" s="12"/>
      <c r="I35" s="12"/>
      <c r="M35" s="12"/>
    </row>
    <row r="36" spans="1:13" ht="15.75">
      <c r="A36" s="59" t="s">
        <v>363</v>
      </c>
      <c r="B36" s="291">
        <v>2</v>
      </c>
      <c r="C36" s="298" t="s">
        <v>344</v>
      </c>
      <c r="D36" s="388">
        <v>4.8099999999999997E-2</v>
      </c>
      <c r="E36" s="388">
        <v>4.8099999999999997E-2</v>
      </c>
      <c r="F36" s="12" t="s">
        <v>215</v>
      </c>
      <c r="H36" s="12"/>
      <c r="I36" s="12"/>
      <c r="M36" s="12"/>
    </row>
    <row r="37" spans="1:13" ht="16.5" thickBot="1">
      <c r="A37" s="60" t="s">
        <v>364</v>
      </c>
      <c r="B37" s="293">
        <v>3</v>
      </c>
      <c r="C37" s="299" t="s">
        <v>365</v>
      </c>
      <c r="D37" s="389" t="s">
        <v>0</v>
      </c>
      <c r="E37" s="389" t="s">
        <v>0</v>
      </c>
      <c r="F37" s="12"/>
      <c r="H37" s="12"/>
      <c r="I37" s="12"/>
      <c r="M37" s="12"/>
    </row>
    <row r="38" spans="1:13" ht="15.75">
      <c r="A38" s="59" t="s">
        <v>161</v>
      </c>
      <c r="B38" s="291">
        <v>4</v>
      </c>
      <c r="C38" s="292" t="s">
        <v>345</v>
      </c>
      <c r="D38" s="388" t="s">
        <v>0</v>
      </c>
      <c r="E38" s="388" t="s">
        <v>0</v>
      </c>
      <c r="F38" s="12"/>
      <c r="H38" s="12"/>
      <c r="I38" s="12"/>
      <c r="M38" s="12"/>
    </row>
    <row r="39" spans="1:13" ht="15.75">
      <c r="A39" s="59" t="s">
        <v>160</v>
      </c>
      <c r="B39" s="291">
        <v>5</v>
      </c>
      <c r="C39" s="292" t="s">
        <v>346</v>
      </c>
      <c r="D39" s="388">
        <v>5.1299999999999998E-2</v>
      </c>
      <c r="E39" s="388">
        <v>5.4300000000000001E-2</v>
      </c>
      <c r="F39" s="12" t="s">
        <v>347</v>
      </c>
      <c r="H39" s="12"/>
      <c r="I39" s="12"/>
      <c r="M39" s="12"/>
    </row>
    <row r="40" spans="1:13" ht="16.5" thickBot="1">
      <c r="A40" s="60" t="s">
        <v>159</v>
      </c>
      <c r="B40" s="293">
        <v>6</v>
      </c>
      <c r="C40" s="294" t="s">
        <v>188</v>
      </c>
      <c r="D40" s="390" t="s">
        <v>0</v>
      </c>
      <c r="E40" s="390" t="s">
        <v>0</v>
      </c>
      <c r="F40" s="12"/>
      <c r="H40" s="12"/>
      <c r="I40" s="12"/>
      <c r="M40" s="12"/>
    </row>
    <row r="41" spans="1:13" ht="15.75">
      <c r="A41" s="59" t="s">
        <v>68</v>
      </c>
      <c r="B41" s="291">
        <v>7</v>
      </c>
      <c r="C41" s="292" t="s">
        <v>51</v>
      </c>
      <c r="D41" s="391" t="s">
        <v>0</v>
      </c>
      <c r="E41" s="391" t="s">
        <v>0</v>
      </c>
      <c r="H41" s="12"/>
      <c r="I41" s="12"/>
      <c r="M41" s="12"/>
    </row>
    <row r="42" spans="1:13" ht="15.75">
      <c r="A42" s="59" t="s">
        <v>158</v>
      </c>
      <c r="B42" s="291">
        <v>8</v>
      </c>
      <c r="C42" s="292" t="s">
        <v>24</v>
      </c>
      <c r="D42" s="392">
        <v>5.4800000000000001E-2</v>
      </c>
      <c r="E42" s="392">
        <v>5.6399999999999999E-2</v>
      </c>
      <c r="F42" s="12" t="s">
        <v>216</v>
      </c>
      <c r="H42" s="12"/>
      <c r="I42" s="12"/>
      <c r="J42" s="12"/>
      <c r="K42" s="12"/>
      <c r="L42" s="12"/>
      <c r="M42" s="12"/>
    </row>
    <row r="43" spans="1:13" ht="16.5" thickBot="1">
      <c r="A43" s="60" t="s">
        <v>70</v>
      </c>
      <c r="B43" s="293">
        <v>9</v>
      </c>
      <c r="C43" s="294" t="s">
        <v>72</v>
      </c>
      <c r="D43" s="390" t="s">
        <v>0</v>
      </c>
      <c r="E43" s="390" t="s">
        <v>0</v>
      </c>
      <c r="F43" s="12"/>
      <c r="H43" s="12"/>
      <c r="I43" s="12"/>
      <c r="J43" s="12"/>
      <c r="K43" s="12"/>
      <c r="L43" s="12"/>
      <c r="M43" s="12"/>
    </row>
    <row r="44" spans="1:13" ht="15.75">
      <c r="A44" s="59" t="s">
        <v>62</v>
      </c>
      <c r="B44" s="291">
        <v>10</v>
      </c>
      <c r="C44" s="292" t="s">
        <v>64</v>
      </c>
      <c r="D44" s="392" t="s">
        <v>0</v>
      </c>
      <c r="E44" s="392" t="s">
        <v>0</v>
      </c>
      <c r="H44" s="12"/>
      <c r="I44" s="12"/>
      <c r="J44" s="12"/>
      <c r="K44" s="12"/>
      <c r="L44" s="12"/>
      <c r="M44" s="12"/>
    </row>
    <row r="45" spans="1:13" ht="15.75">
      <c r="A45" s="59" t="s">
        <v>63</v>
      </c>
      <c r="B45" s="291">
        <v>11</v>
      </c>
      <c r="C45" s="292" t="s">
        <v>65</v>
      </c>
      <c r="D45" s="392">
        <v>5.9700000000000003E-2</v>
      </c>
      <c r="E45" s="392">
        <v>5.9299999999999999E-2</v>
      </c>
      <c r="F45" s="12" t="s">
        <v>219</v>
      </c>
      <c r="H45" s="12"/>
      <c r="I45" s="12"/>
      <c r="J45" s="12"/>
      <c r="K45" s="12"/>
      <c r="L45" s="12"/>
      <c r="M45" s="12"/>
    </row>
    <row r="46" spans="1:13" ht="16.5" thickBot="1">
      <c r="A46" s="60" t="s">
        <v>71</v>
      </c>
      <c r="B46" s="293">
        <v>12</v>
      </c>
      <c r="C46" s="294" t="s">
        <v>73</v>
      </c>
      <c r="D46" s="392" t="s">
        <v>0</v>
      </c>
      <c r="E46" s="392" t="s">
        <v>0</v>
      </c>
      <c r="F46" s="12"/>
      <c r="H46" s="12"/>
      <c r="I46" s="12"/>
      <c r="J46" s="12"/>
      <c r="K46" s="12"/>
      <c r="L46" s="12"/>
      <c r="M46" s="12"/>
    </row>
    <row r="47" spans="1:13" ht="15.75">
      <c r="A47" s="59" t="s">
        <v>69</v>
      </c>
      <c r="B47" s="291">
        <v>13</v>
      </c>
      <c r="C47" s="292" t="s">
        <v>348</v>
      </c>
      <c r="D47" s="391" t="s">
        <v>0</v>
      </c>
      <c r="E47" s="391" t="s">
        <v>0</v>
      </c>
      <c r="H47" s="12"/>
      <c r="I47" s="12"/>
      <c r="J47" s="12"/>
      <c r="K47" s="12"/>
      <c r="L47" s="12"/>
      <c r="M47" s="12"/>
    </row>
    <row r="48" spans="1:13" ht="15.75">
      <c r="A48" s="59" t="s">
        <v>157</v>
      </c>
      <c r="B48" s="291">
        <v>14</v>
      </c>
      <c r="C48" s="292" t="s">
        <v>349</v>
      </c>
      <c r="D48" s="388">
        <v>7.4440000000000006E-2</v>
      </c>
      <c r="E48" s="388">
        <v>7.3899999999999993E-2</v>
      </c>
      <c r="F48" s="12" t="s">
        <v>218</v>
      </c>
      <c r="H48" s="12"/>
      <c r="I48" s="12"/>
      <c r="J48" s="12"/>
      <c r="K48" s="12"/>
      <c r="L48" s="12"/>
      <c r="M48" s="12"/>
    </row>
    <row r="49" spans="1:13" ht="16.5" thickBot="1">
      <c r="A49" s="60" t="s">
        <v>156</v>
      </c>
      <c r="B49" s="293">
        <v>15</v>
      </c>
      <c r="C49" s="294" t="s">
        <v>350</v>
      </c>
      <c r="D49" s="389" t="s">
        <v>0</v>
      </c>
      <c r="E49" s="389" t="s">
        <v>0</v>
      </c>
      <c r="F49" s="12"/>
      <c r="H49" s="12"/>
      <c r="I49" s="12"/>
      <c r="J49" s="12"/>
      <c r="K49" s="12"/>
      <c r="L49" s="12"/>
      <c r="M49" s="12"/>
    </row>
    <row r="50" spans="1:13" ht="15.75">
      <c r="A50" s="59" t="s">
        <v>155</v>
      </c>
      <c r="B50" s="291">
        <v>16</v>
      </c>
      <c r="C50" s="292" t="s">
        <v>25</v>
      </c>
      <c r="D50" s="391"/>
      <c r="E50" s="391"/>
      <c r="H50" s="12"/>
      <c r="I50" s="12"/>
      <c r="J50" s="12"/>
      <c r="K50" s="12"/>
      <c r="L50" s="12"/>
      <c r="M50" s="12"/>
    </row>
    <row r="51" spans="1:13" ht="15.75">
      <c r="A51" s="59" t="s">
        <v>154</v>
      </c>
      <c r="B51" s="291">
        <v>17</v>
      </c>
      <c r="C51" s="292" t="s">
        <v>105</v>
      </c>
      <c r="D51" s="392">
        <v>8.2299999999999998E-2</v>
      </c>
      <c r="E51" s="392">
        <v>8.1699999999999995E-2</v>
      </c>
      <c r="F51" s="12" t="s">
        <v>217</v>
      </c>
      <c r="H51" s="12"/>
      <c r="I51" s="12"/>
      <c r="J51" s="12"/>
      <c r="K51" s="12"/>
      <c r="L51" s="12"/>
      <c r="M51" s="12"/>
    </row>
    <row r="52" spans="1:13" ht="16.5" thickBot="1">
      <c r="A52" s="60" t="s">
        <v>153</v>
      </c>
      <c r="B52" s="293">
        <v>18</v>
      </c>
      <c r="C52" s="294" t="s">
        <v>351</v>
      </c>
      <c r="D52" s="389"/>
      <c r="E52" s="389"/>
      <c r="F52" s="12"/>
      <c r="H52" s="12"/>
      <c r="I52" s="12"/>
      <c r="J52" s="12"/>
      <c r="K52" s="12"/>
      <c r="L52" s="12"/>
      <c r="M52" s="12"/>
    </row>
    <row r="53" spans="1:13" ht="15.75">
      <c r="A53" s="59" t="s">
        <v>152</v>
      </c>
      <c r="B53" s="291">
        <v>19</v>
      </c>
      <c r="C53" s="292" t="s">
        <v>352</v>
      </c>
      <c r="D53" s="392"/>
      <c r="E53" s="392"/>
      <c r="H53" s="12"/>
      <c r="I53" s="12"/>
      <c r="J53" s="12"/>
      <c r="K53" s="12"/>
      <c r="L53" s="12"/>
      <c r="M53" s="12"/>
    </row>
    <row r="54" spans="1:13" ht="15.75">
      <c r="A54" s="59" t="s">
        <v>151</v>
      </c>
      <c r="B54" s="291">
        <v>20</v>
      </c>
      <c r="C54" s="292" t="s">
        <v>353</v>
      </c>
      <c r="D54" s="392">
        <v>9.0200000000000002E-2</v>
      </c>
      <c r="E54" s="392">
        <v>8.9499999999999996E-2</v>
      </c>
      <c r="F54" s="12" t="s">
        <v>214</v>
      </c>
      <c r="H54" s="12"/>
      <c r="I54" s="12"/>
      <c r="J54" s="12"/>
      <c r="K54" s="12"/>
      <c r="L54" s="12"/>
      <c r="M54" s="12"/>
    </row>
    <row r="55" spans="1:13" ht="16.5" thickBot="1">
      <c r="A55" s="60" t="s">
        <v>150</v>
      </c>
      <c r="B55" s="293">
        <v>21</v>
      </c>
      <c r="C55" s="417" t="s">
        <v>354</v>
      </c>
      <c r="D55" s="390"/>
      <c r="E55" s="390"/>
      <c r="F55" s="12"/>
      <c r="H55" s="12"/>
      <c r="I55" s="12"/>
      <c r="J55" s="12"/>
      <c r="K55" s="12"/>
      <c r="L55" s="12"/>
    </row>
    <row r="56" spans="1:13" ht="15.75">
      <c r="A56" s="416" t="s">
        <v>366</v>
      </c>
      <c r="B56" s="296">
        <v>22</v>
      </c>
      <c r="C56" s="419" t="s">
        <v>367</v>
      </c>
      <c r="D56" s="393"/>
      <c r="E56" s="393"/>
      <c r="H56" s="12"/>
    </row>
    <row r="57" spans="1:13" ht="15.75">
      <c r="A57" s="416" t="s">
        <v>368</v>
      </c>
      <c r="B57" s="291">
        <v>23</v>
      </c>
      <c r="C57" s="420" t="s">
        <v>355</v>
      </c>
      <c r="D57" s="394"/>
      <c r="E57" s="394"/>
      <c r="F57" s="12" t="s">
        <v>212</v>
      </c>
      <c r="H57" s="12"/>
    </row>
    <row r="58" spans="1:13" ht="16.5" thickBot="1">
      <c r="A58" s="418" t="s">
        <v>369</v>
      </c>
      <c r="B58" s="293">
        <v>24</v>
      </c>
      <c r="C58" s="417" t="s">
        <v>370</v>
      </c>
      <c r="D58" s="395"/>
      <c r="E58" s="395"/>
      <c r="F58" s="12"/>
      <c r="H58" s="12"/>
    </row>
    <row r="59" spans="1:13" ht="16.5" thickBot="1">
      <c r="A59" s="60" t="s">
        <v>289</v>
      </c>
      <c r="B59" s="293">
        <v>25</v>
      </c>
      <c r="C59" s="60" t="s">
        <v>106</v>
      </c>
      <c r="D59" s="396"/>
      <c r="E59" s="396"/>
      <c r="F59" s="12" t="s">
        <v>213</v>
      </c>
      <c r="H59" s="12"/>
    </row>
  </sheetData>
  <pageMargins left="0.25" right="0.25" top="0.75" bottom="0.75" header="0.3" footer="0.3"/>
  <pageSetup scale="42"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N35"/>
  <sheetViews>
    <sheetView view="pageBreakPreview" zoomScale="60" zoomScaleNormal="80" workbookViewId="0">
      <selection activeCell="J3" sqref="J3"/>
    </sheetView>
  </sheetViews>
  <sheetFormatPr defaultRowHeight="15"/>
  <cols>
    <col min="1" max="1" width="48.85546875" customWidth="1"/>
    <col min="2" max="2" width="11.5703125" customWidth="1"/>
    <col min="3" max="3" width="19.85546875" customWidth="1"/>
    <col min="4" max="4" width="24.7109375" customWidth="1"/>
    <col min="5" max="5" width="22.7109375" customWidth="1"/>
    <col min="6" max="7" width="21.28515625" customWidth="1"/>
    <col min="8" max="8" width="12" customWidth="1"/>
    <col min="9" max="9" width="18.42578125" customWidth="1"/>
    <col min="10" max="10" width="21.28515625" customWidth="1"/>
    <col min="11" max="11" width="2.28515625" customWidth="1"/>
    <col min="12" max="12" width="22.7109375" customWidth="1"/>
    <col min="13" max="13" width="17.28515625" customWidth="1"/>
  </cols>
  <sheetData>
    <row r="1" spans="1:14" ht="20.25">
      <c r="A1" s="24" t="s">
        <v>1</v>
      </c>
      <c r="B1" s="12"/>
      <c r="C1" s="12"/>
      <c r="D1" s="12"/>
      <c r="E1" s="12"/>
      <c r="F1" s="12"/>
      <c r="G1" s="12"/>
      <c r="H1" s="12"/>
      <c r="I1" s="12"/>
      <c r="J1" s="12"/>
      <c r="K1" s="12"/>
      <c r="L1" s="12"/>
      <c r="M1" s="12"/>
      <c r="N1" s="12"/>
    </row>
    <row r="2" spans="1:14" ht="15.75">
      <c r="A2" s="64" t="s">
        <v>9</v>
      </c>
      <c r="B2" s="12"/>
      <c r="C2" s="12"/>
      <c r="D2" s="12"/>
      <c r="E2" s="12"/>
      <c r="F2" s="12"/>
      <c r="G2" s="12"/>
      <c r="H2" s="12"/>
      <c r="I2" s="12"/>
      <c r="J2" s="12"/>
      <c r="K2" s="12"/>
      <c r="L2" s="12"/>
      <c r="M2" s="12"/>
      <c r="N2" s="12"/>
    </row>
    <row r="3" spans="1:14">
      <c r="A3" s="26" t="s">
        <v>76</v>
      </c>
      <c r="B3" s="12"/>
      <c r="C3" s="12"/>
      <c r="D3" s="12"/>
      <c r="E3" s="12"/>
      <c r="F3" s="12"/>
      <c r="G3" s="12"/>
      <c r="H3" s="12"/>
      <c r="I3" s="12"/>
      <c r="J3" s="12"/>
      <c r="K3" s="12"/>
      <c r="L3" s="12"/>
      <c r="M3" s="12"/>
      <c r="N3" s="12"/>
    </row>
    <row r="4" spans="1:14">
      <c r="A4" s="12"/>
      <c r="B4" s="12"/>
      <c r="C4" s="12"/>
      <c r="D4" s="27" t="s">
        <v>0</v>
      </c>
      <c r="E4" s="12"/>
      <c r="F4" s="12"/>
      <c r="G4" s="12"/>
      <c r="H4" s="12"/>
      <c r="I4" s="12"/>
      <c r="J4" s="12"/>
      <c r="K4" s="12"/>
      <c r="L4" s="12"/>
      <c r="M4" s="12"/>
      <c r="N4" s="12"/>
    </row>
    <row r="5" spans="1:14" ht="16.5" thickBot="1">
      <c r="A5" s="64"/>
      <c r="B5" s="12"/>
      <c r="C5" s="12"/>
      <c r="D5" s="12"/>
      <c r="E5" s="12"/>
      <c r="F5" s="12"/>
      <c r="G5" s="12"/>
      <c r="H5" s="12"/>
      <c r="I5" s="12"/>
      <c r="J5" s="12"/>
      <c r="K5" s="12"/>
      <c r="L5" s="12"/>
      <c r="M5" s="12"/>
      <c r="N5" s="12"/>
    </row>
    <row r="6" spans="1:14" ht="16.5" thickBot="1">
      <c r="A6" s="281" t="str">
        <f>+'S&amp;D'!A12</f>
        <v>Electric Wholesale (non-regulated) Power Generator</v>
      </c>
      <c r="B6" s="207"/>
      <c r="C6" s="12"/>
      <c r="D6" s="12"/>
      <c r="E6" s="12"/>
      <c r="F6" s="12"/>
      <c r="G6" s="12"/>
      <c r="H6" s="12"/>
      <c r="I6" s="12"/>
      <c r="J6" s="12"/>
      <c r="K6" s="12"/>
      <c r="L6" s="12"/>
      <c r="M6" s="12"/>
      <c r="N6" s="12"/>
    </row>
    <row r="7" spans="1:14" ht="15.75">
      <c r="A7" s="64"/>
      <c r="B7" s="12"/>
      <c r="C7" s="12"/>
      <c r="D7" s="12"/>
      <c r="E7" s="12"/>
      <c r="F7" s="12"/>
      <c r="G7" s="12"/>
      <c r="H7" s="12"/>
      <c r="I7" s="12"/>
      <c r="J7" s="12"/>
      <c r="K7" s="12"/>
      <c r="L7" s="12"/>
      <c r="M7" s="12"/>
      <c r="N7" s="12"/>
    </row>
    <row r="8" spans="1:14" ht="16.5" thickBot="1">
      <c r="A8" s="64"/>
      <c r="B8" s="29"/>
      <c r="C8" s="29"/>
      <c r="D8" s="29"/>
      <c r="E8" s="29"/>
      <c r="F8" s="12"/>
      <c r="G8" s="12"/>
      <c r="H8" s="29"/>
      <c r="I8" s="29"/>
      <c r="J8" s="29"/>
      <c r="K8" s="29"/>
      <c r="L8" s="29"/>
      <c r="M8" s="29"/>
      <c r="N8" s="12"/>
    </row>
    <row r="9" spans="1:14" ht="20.25">
      <c r="B9" s="12"/>
      <c r="C9" s="12"/>
      <c r="D9" s="32" t="s">
        <v>331</v>
      </c>
      <c r="E9" s="12"/>
      <c r="F9" s="12"/>
      <c r="G9" s="12"/>
      <c r="H9" s="12"/>
      <c r="I9" s="12"/>
      <c r="J9" s="12"/>
      <c r="K9" s="70" t="s">
        <v>332</v>
      </c>
      <c r="L9" s="12"/>
      <c r="M9" s="12"/>
      <c r="N9" s="12"/>
    </row>
    <row r="10" spans="1:14" ht="18.75" thickBot="1">
      <c r="A10" s="31"/>
      <c r="B10" s="29"/>
      <c r="C10" s="29"/>
      <c r="D10" s="33" t="s">
        <v>90</v>
      </c>
      <c r="E10" s="29"/>
      <c r="F10" s="12"/>
      <c r="G10" s="12"/>
      <c r="H10" s="29"/>
      <c r="I10" s="29"/>
      <c r="J10" s="29"/>
      <c r="K10" s="33" t="s">
        <v>90</v>
      </c>
      <c r="L10" s="29"/>
      <c r="M10" s="29"/>
      <c r="N10" s="12"/>
    </row>
    <row r="11" spans="1:14" ht="15.75" thickBot="1">
      <c r="A11" s="34" t="s">
        <v>0</v>
      </c>
      <c r="B11" s="34" t="s">
        <v>0</v>
      </c>
      <c r="C11" s="34" t="s">
        <v>0</v>
      </c>
      <c r="D11" s="34" t="s">
        <v>0</v>
      </c>
      <c r="E11" s="34" t="s">
        <v>0</v>
      </c>
      <c r="F11" s="34" t="s">
        <v>0</v>
      </c>
      <c r="G11" s="41"/>
      <c r="H11" s="280"/>
      <c r="I11" s="34" t="s">
        <v>0</v>
      </c>
      <c r="J11" s="29"/>
      <c r="K11" s="29"/>
      <c r="L11" s="29"/>
      <c r="M11" s="29"/>
      <c r="N11" s="12"/>
    </row>
    <row r="12" spans="1:14">
      <c r="A12" s="35" t="s">
        <v>0</v>
      </c>
      <c r="B12" s="35" t="s">
        <v>3</v>
      </c>
      <c r="C12" s="35" t="s">
        <v>0</v>
      </c>
      <c r="D12" s="35" t="s">
        <v>126</v>
      </c>
      <c r="E12" s="35" t="s">
        <v>126</v>
      </c>
      <c r="F12" s="35" t="s">
        <v>27</v>
      </c>
      <c r="G12" s="35"/>
      <c r="H12" s="35" t="s">
        <v>3</v>
      </c>
      <c r="I12" s="35" t="s">
        <v>0</v>
      </c>
      <c r="J12" s="35" t="s">
        <v>126</v>
      </c>
      <c r="K12" s="35"/>
      <c r="L12" s="35" t="s">
        <v>126</v>
      </c>
      <c r="M12" s="35" t="s">
        <v>27</v>
      </c>
      <c r="N12" s="12"/>
    </row>
    <row r="13" spans="1:14" ht="15.75" thickBot="1">
      <c r="A13" s="37" t="s">
        <v>2</v>
      </c>
      <c r="B13" s="37" t="s">
        <v>4</v>
      </c>
      <c r="C13" s="37" t="s">
        <v>28</v>
      </c>
      <c r="D13" s="37" t="s">
        <v>0</v>
      </c>
      <c r="E13" s="37" t="s">
        <v>29</v>
      </c>
      <c r="F13" s="37" t="s">
        <v>30</v>
      </c>
      <c r="G13" s="35"/>
      <c r="H13" s="37" t="s">
        <v>4</v>
      </c>
      <c r="I13" s="37" t="s">
        <v>28</v>
      </c>
      <c r="J13" s="37" t="s">
        <v>0</v>
      </c>
      <c r="K13" s="37"/>
      <c r="L13" s="37" t="s">
        <v>29</v>
      </c>
      <c r="M13" s="37" t="s">
        <v>30</v>
      </c>
      <c r="N13" s="12"/>
    </row>
    <row r="14" spans="1:14">
      <c r="A14" s="39" t="s">
        <v>0</v>
      </c>
      <c r="B14" s="39" t="s">
        <v>0</v>
      </c>
      <c r="C14" s="40" t="s">
        <v>129</v>
      </c>
      <c r="D14" s="39" t="s">
        <v>130</v>
      </c>
      <c r="E14" s="39" t="s">
        <v>0</v>
      </c>
      <c r="F14" s="39" t="s">
        <v>0</v>
      </c>
      <c r="G14" s="41"/>
      <c r="H14" s="39" t="s">
        <v>0</v>
      </c>
      <c r="I14" s="40" t="s">
        <v>129</v>
      </c>
      <c r="J14" s="39" t="s">
        <v>131</v>
      </c>
      <c r="K14" s="39"/>
      <c r="L14" s="39" t="s">
        <v>0</v>
      </c>
      <c r="M14" s="39" t="s">
        <v>0</v>
      </c>
      <c r="N14" s="12"/>
    </row>
    <row r="15" spans="1:14">
      <c r="A15" s="35"/>
      <c r="B15" s="35"/>
      <c r="C15" s="35"/>
      <c r="D15" s="35"/>
      <c r="E15" s="35"/>
      <c r="F15" s="35"/>
      <c r="G15" s="35"/>
      <c r="H15" s="35"/>
      <c r="I15" s="35"/>
      <c r="J15" s="35"/>
      <c r="K15" s="35"/>
      <c r="L15" s="35"/>
      <c r="M15" s="35"/>
      <c r="N15" s="12"/>
    </row>
    <row r="16" spans="1:14">
      <c r="A16" s="12"/>
      <c r="B16" s="12"/>
      <c r="C16" s="12"/>
      <c r="D16" s="12"/>
      <c r="E16" s="12"/>
      <c r="F16" s="12"/>
      <c r="G16" s="12"/>
      <c r="H16" s="12"/>
      <c r="I16" s="12"/>
      <c r="J16" s="12"/>
      <c r="K16" s="12"/>
      <c r="L16" s="12"/>
      <c r="M16" s="12"/>
      <c r="N16" s="12"/>
    </row>
    <row r="17" spans="1:14" ht="15.75">
      <c r="A17" s="44" t="str">
        <f>+'S&amp;D'!A22</f>
        <v>AES CORPORATION</v>
      </c>
      <c r="B17" s="35" t="str">
        <f>+'S&amp;D'!B22</f>
        <v>AES</v>
      </c>
      <c r="C17" s="61">
        <f>+'S&amp;D'!G22</f>
        <v>28.76</v>
      </c>
      <c r="D17" s="369">
        <v>0.76</v>
      </c>
      <c r="E17" s="73">
        <f>C17/D17</f>
        <v>37.842105263157897</v>
      </c>
      <c r="F17" s="58">
        <f t="shared" ref="F17:F23" si="0">1/E17</f>
        <v>2.6425591098748261E-2</v>
      </c>
      <c r="G17" s="58"/>
      <c r="H17" s="35" t="str">
        <f>+B17</f>
        <v>AES</v>
      </c>
      <c r="I17" s="61">
        <f>+C17</f>
        <v>28.76</v>
      </c>
      <c r="J17" s="369">
        <v>2.65</v>
      </c>
      <c r="K17" s="369"/>
      <c r="L17" s="73">
        <f>I17/J17</f>
        <v>10.852830188679246</v>
      </c>
      <c r="M17" s="58">
        <f t="shared" ref="M17:M23" si="1">1/L17</f>
        <v>9.2141863699582757E-2</v>
      </c>
      <c r="N17" s="12"/>
    </row>
    <row r="18" spans="1:14" ht="15.75">
      <c r="A18" s="44" t="str">
        <f>+'S&amp;D'!A23</f>
        <v>DOMINION ENERGY INC</v>
      </c>
      <c r="B18" s="35" t="str">
        <f>+'S&amp;D'!B23</f>
        <v>D</v>
      </c>
      <c r="C18" s="61">
        <f>+'S&amp;D'!G23</f>
        <v>61.32</v>
      </c>
      <c r="D18" s="369">
        <v>7.7</v>
      </c>
      <c r="E18" s="73">
        <f t="shared" ref="E18:E23" si="2">C18/D18</f>
        <v>7.9636363636363638</v>
      </c>
      <c r="F18" s="58">
        <f t="shared" si="0"/>
        <v>0.12557077625570776</v>
      </c>
      <c r="G18" s="58"/>
      <c r="H18" s="35" t="str">
        <f t="shared" ref="H18:H23" si="3">+B18</f>
        <v>D</v>
      </c>
      <c r="I18" s="61">
        <f t="shared" ref="I18:I23" si="4">+C18</f>
        <v>61.32</v>
      </c>
      <c r="J18" s="369">
        <v>8</v>
      </c>
      <c r="K18" s="369"/>
      <c r="L18" s="73">
        <f t="shared" ref="L18:L23" si="5">I18/J18</f>
        <v>7.665</v>
      </c>
      <c r="M18" s="58">
        <f t="shared" si="1"/>
        <v>0.13046314416177429</v>
      </c>
      <c r="N18" s="12"/>
    </row>
    <row r="19" spans="1:14" ht="15.75">
      <c r="A19" s="44" t="str">
        <f>+'S&amp;D'!A24</f>
        <v>EXELON CORPORATION</v>
      </c>
      <c r="B19" s="35" t="str">
        <f>+'S&amp;D'!B24</f>
        <v>EXC</v>
      </c>
      <c r="C19" s="61">
        <f>+'S&amp;D'!G24</f>
        <v>43.23</v>
      </c>
      <c r="D19" s="369">
        <v>6.55</v>
      </c>
      <c r="E19" s="73">
        <f t="shared" si="2"/>
        <v>6.6</v>
      </c>
      <c r="F19" s="58">
        <f t="shared" si="0"/>
        <v>0.15151515151515152</v>
      </c>
      <c r="G19" s="58"/>
      <c r="H19" s="35" t="str">
        <f t="shared" si="3"/>
        <v>EXC</v>
      </c>
      <c r="I19" s="61">
        <f t="shared" si="4"/>
        <v>43.23</v>
      </c>
      <c r="J19" s="369">
        <v>6.75</v>
      </c>
      <c r="K19" s="369"/>
      <c r="L19" s="73">
        <f t="shared" si="5"/>
        <v>6.4044444444444437</v>
      </c>
      <c r="M19" s="58">
        <f t="shared" si="1"/>
        <v>0.15614156835530882</v>
      </c>
      <c r="N19" s="12"/>
    </row>
    <row r="20" spans="1:14" ht="15.75">
      <c r="A20" s="44" t="str">
        <f>+'S&amp;D'!A25</f>
        <v>NEXTERA ENERGY INC</v>
      </c>
      <c r="B20" s="35" t="str">
        <f>+'S&amp;D'!B25</f>
        <v>NEE</v>
      </c>
      <c r="C20" s="61">
        <f>+'S&amp;D'!G25</f>
        <v>83.6</v>
      </c>
      <c r="D20" s="369">
        <v>5.3</v>
      </c>
      <c r="E20" s="73">
        <f t="shared" ref="E20" si="6">C20/D20</f>
        <v>15.773584905660377</v>
      </c>
      <c r="F20" s="58">
        <f t="shared" ref="F20" si="7">1/E20</f>
        <v>6.3397129186602869E-2</v>
      </c>
      <c r="G20" s="58"/>
      <c r="H20" s="35" t="str">
        <f t="shared" ref="H20" si="8">+B20</f>
        <v>NEE</v>
      </c>
      <c r="I20" s="61">
        <f t="shared" ref="I20" si="9">+C20</f>
        <v>83.6</v>
      </c>
      <c r="J20" s="369">
        <v>5.6</v>
      </c>
      <c r="K20" s="369"/>
      <c r="L20" s="73">
        <f t="shared" ref="L20" si="10">I20/J20</f>
        <v>14.928571428571429</v>
      </c>
      <c r="M20" s="58">
        <f t="shared" ref="M20" si="11">1/L20</f>
        <v>6.6985645933014357E-2</v>
      </c>
      <c r="N20" s="12"/>
    </row>
    <row r="21" spans="1:14" ht="15.75">
      <c r="A21" s="44" t="str">
        <f>+'S&amp;D'!A26</f>
        <v>NRG ENERGY</v>
      </c>
      <c r="B21" s="35" t="str">
        <f>+'S&amp;D'!B26</f>
        <v>NRG</v>
      </c>
      <c r="C21" s="61">
        <f>+'S&amp;D'!G26</f>
        <v>31.82</v>
      </c>
      <c r="D21" s="369">
        <v>8.08</v>
      </c>
      <c r="E21" s="73">
        <f>C21/D21</f>
        <v>3.9381188118811883</v>
      </c>
      <c r="F21" s="58">
        <f t="shared" si="0"/>
        <v>0.25392834695160277</v>
      </c>
      <c r="G21" s="58"/>
      <c r="H21" s="35" t="str">
        <f t="shared" si="3"/>
        <v>NRG</v>
      </c>
      <c r="I21" s="61">
        <f t="shared" si="4"/>
        <v>31.82</v>
      </c>
      <c r="J21" s="369">
        <v>8.85</v>
      </c>
      <c r="K21" s="369"/>
      <c r="L21" s="73">
        <f t="shared" si="5"/>
        <v>3.5954802259887009</v>
      </c>
      <c r="M21" s="58">
        <f t="shared" si="1"/>
        <v>0.27812696417347577</v>
      </c>
      <c r="N21" s="12"/>
    </row>
    <row r="22" spans="1:14" ht="15.75">
      <c r="A22" s="44" t="str">
        <f>+'S&amp;D'!A27</f>
        <v>SOUTHERN COMPANY</v>
      </c>
      <c r="B22" s="35" t="str">
        <f>+'S&amp;D'!B27</f>
        <v>SO</v>
      </c>
      <c r="C22" s="61">
        <f>+'S&amp;D'!G27</f>
        <v>71.41</v>
      </c>
      <c r="D22" s="369">
        <v>7.3</v>
      </c>
      <c r="E22" s="73">
        <f t="shared" si="2"/>
        <v>9.7821917808219183</v>
      </c>
      <c r="F22" s="58">
        <f t="shared" si="0"/>
        <v>0.10222657891051673</v>
      </c>
      <c r="G22" s="58"/>
      <c r="H22" s="35" t="str">
        <f t="shared" si="3"/>
        <v>SO</v>
      </c>
      <c r="I22" s="61">
        <f t="shared" si="4"/>
        <v>71.41</v>
      </c>
      <c r="J22" s="369">
        <v>7.65</v>
      </c>
      <c r="K22" s="369"/>
      <c r="L22" s="73">
        <f t="shared" si="5"/>
        <v>9.3346405228758158</v>
      </c>
      <c r="M22" s="58">
        <f t="shared" si="1"/>
        <v>0.10712785324184289</v>
      </c>
      <c r="N22" s="12"/>
    </row>
    <row r="23" spans="1:14" ht="15.75">
      <c r="A23" s="44" t="str">
        <f>+'S&amp;D'!A28</f>
        <v>VISTRA ENERGY CORPORATION</v>
      </c>
      <c r="B23" s="35" t="str">
        <f>+'S&amp;D'!B28</f>
        <v>VST</v>
      </c>
      <c r="C23" s="61">
        <f>+'S&amp;D'!G28</f>
        <v>23.2</v>
      </c>
      <c r="D23" s="369">
        <v>0.87</v>
      </c>
      <c r="E23" s="73">
        <f t="shared" si="2"/>
        <v>26.666666666666664</v>
      </c>
      <c r="F23" s="58">
        <f t="shared" si="0"/>
        <v>3.7500000000000006E-2</v>
      </c>
      <c r="G23" s="58"/>
      <c r="H23" s="35" t="str">
        <f t="shared" si="3"/>
        <v>VST</v>
      </c>
      <c r="I23" s="61">
        <f t="shared" si="4"/>
        <v>23.2</v>
      </c>
      <c r="J23" s="369">
        <v>6.7</v>
      </c>
      <c r="K23" s="369"/>
      <c r="L23" s="73">
        <f t="shared" si="5"/>
        <v>3.4626865671641789</v>
      </c>
      <c r="M23" s="58">
        <f t="shared" si="1"/>
        <v>0.28879310344827586</v>
      </c>
      <c r="N23" s="12"/>
    </row>
    <row r="24" spans="1:14" ht="15.75" thickBot="1">
      <c r="A24" s="12"/>
      <c r="B24" s="72"/>
      <c r="C24" s="72"/>
      <c r="D24" s="72"/>
      <c r="E24" s="72"/>
      <c r="F24" s="72"/>
      <c r="G24" s="12"/>
      <c r="H24" s="72"/>
      <c r="I24" s="72"/>
      <c r="J24" s="72"/>
      <c r="K24" s="72"/>
      <c r="L24" s="72"/>
      <c r="M24" s="72"/>
      <c r="N24" s="12"/>
    </row>
    <row r="25" spans="1:14" ht="15.75" thickTop="1">
      <c r="A25" s="12"/>
      <c r="C25" s="14" t="s">
        <v>53</v>
      </c>
      <c r="D25" s="316">
        <v>15.51</v>
      </c>
      <c r="E25" s="316">
        <v>11.71</v>
      </c>
      <c r="F25" s="310">
        <v>0.14940000000000001</v>
      </c>
      <c r="I25" s="14" t="s">
        <v>53</v>
      </c>
      <c r="J25" s="316">
        <v>16.95</v>
      </c>
      <c r="K25" s="316"/>
      <c r="L25" s="316">
        <v>10.9</v>
      </c>
      <c r="M25" s="310">
        <v>0.1507</v>
      </c>
      <c r="N25" s="12"/>
    </row>
    <row r="26" spans="1:14">
      <c r="A26" s="12"/>
      <c r="C26" s="14" t="s">
        <v>54</v>
      </c>
      <c r="D26" s="320">
        <v>3.1</v>
      </c>
      <c r="E26" s="320">
        <v>6.69</v>
      </c>
      <c r="F26" s="311">
        <v>8.5400000000000004E-2</v>
      </c>
      <c r="I26" s="14" t="s">
        <v>54</v>
      </c>
      <c r="J26" s="320">
        <v>3.2</v>
      </c>
      <c r="K26" s="320"/>
      <c r="L26" s="320">
        <v>6.64</v>
      </c>
      <c r="M26" s="311">
        <v>9.1700000000000004E-2</v>
      </c>
      <c r="N26" s="12"/>
    </row>
    <row r="27" spans="1:14">
      <c r="A27" s="12"/>
      <c r="C27" s="14" t="s">
        <v>18</v>
      </c>
      <c r="D27" s="73">
        <f>MEDIAN(D17:D23)</f>
        <v>6.55</v>
      </c>
      <c r="E27" s="21">
        <f>MEDIAN(E17:E23)</f>
        <v>9.7821917808219183</v>
      </c>
      <c r="F27" s="58">
        <f>MEDIAN(F17:F23)</f>
        <v>0.10222657891051673</v>
      </c>
      <c r="I27" s="14" t="s">
        <v>18</v>
      </c>
      <c r="J27" s="73">
        <f>MEDIAN(J17:J23)</f>
        <v>6.75</v>
      </c>
      <c r="K27" s="73"/>
      <c r="L27" s="21">
        <f>MEDIAN(L17:L23)</f>
        <v>7.665</v>
      </c>
      <c r="M27" s="58">
        <f>MEDIAN(M17:M23)</f>
        <v>0.13046314416177429</v>
      </c>
      <c r="N27" s="12"/>
    </row>
    <row r="28" spans="1:14">
      <c r="A28" s="12"/>
      <c r="C28" s="14" t="s">
        <v>457</v>
      </c>
      <c r="D28" s="17">
        <f>AVERAGE(D17:D23)</f>
        <v>5.2228571428571424</v>
      </c>
      <c r="E28" s="21">
        <f>AVERAGE(E17:E23)</f>
        <v>15.509471970260629</v>
      </c>
      <c r="F28" s="74">
        <f>AVERAGE(F17:F23)</f>
        <v>0.10865193913118999</v>
      </c>
      <c r="I28" s="14" t="s">
        <v>457</v>
      </c>
      <c r="J28" s="17">
        <f>AVERAGE(J17:J23)</f>
        <v>6.6000000000000005</v>
      </c>
      <c r="K28" s="17"/>
      <c r="L28" s="21">
        <f>AVERAGE(L17:L23)</f>
        <v>8.0348076253891154</v>
      </c>
      <c r="M28" s="74">
        <f>AVERAGE(M17:M23)</f>
        <v>0.15996859185903925</v>
      </c>
      <c r="N28" s="12"/>
    </row>
    <row r="29" spans="1:14">
      <c r="A29" s="12"/>
      <c r="B29" s="12"/>
      <c r="C29" s="12"/>
      <c r="D29" s="12"/>
      <c r="E29" s="12"/>
      <c r="F29" s="12"/>
      <c r="H29" s="12"/>
      <c r="I29" s="12"/>
      <c r="J29" s="12"/>
      <c r="K29" s="12"/>
      <c r="L29" s="12"/>
      <c r="M29" s="12"/>
      <c r="N29" s="12"/>
    </row>
    <row r="30" spans="1:14" ht="20.25">
      <c r="A30" s="12"/>
      <c r="B30" s="12"/>
      <c r="C30" s="12"/>
      <c r="D30" s="78" t="s">
        <v>88</v>
      </c>
      <c r="E30" s="355">
        <v>15.51</v>
      </c>
      <c r="F30" s="356">
        <v>0.1087</v>
      </c>
      <c r="H30" s="12"/>
      <c r="I30" s="12"/>
      <c r="J30" s="78" t="s">
        <v>88</v>
      </c>
      <c r="K30" s="50"/>
      <c r="L30" s="357">
        <v>8.0299999999999994</v>
      </c>
      <c r="M30" s="356">
        <v>0.16</v>
      </c>
      <c r="N30" s="12"/>
    </row>
    <row r="31" spans="1:14" ht="17.25" thickBot="1">
      <c r="A31" s="12"/>
      <c r="B31" s="12"/>
      <c r="C31" s="12"/>
      <c r="D31" s="12"/>
      <c r="E31" s="12"/>
      <c r="F31" s="75" t="s">
        <v>0</v>
      </c>
      <c r="G31" s="75"/>
      <c r="H31" s="12"/>
      <c r="I31" s="12"/>
      <c r="J31" s="12"/>
      <c r="K31" s="12"/>
      <c r="L31" s="12"/>
      <c r="M31" s="12"/>
      <c r="N31" s="12"/>
    </row>
    <row r="32" spans="1:14" ht="21" thickBot="1">
      <c r="A32" s="76" t="s">
        <v>0</v>
      </c>
      <c r="B32" s="12"/>
      <c r="C32" s="12"/>
      <c r="D32" s="12"/>
      <c r="E32" s="12"/>
      <c r="F32" s="12"/>
      <c r="G32" s="12"/>
      <c r="H32" s="24" t="s">
        <v>140</v>
      </c>
      <c r="I32" s="24"/>
      <c r="J32" s="12"/>
      <c r="K32" s="12"/>
      <c r="L32" s="421">
        <f>(E30+L30)/2</f>
        <v>11.77</v>
      </c>
      <c r="M32" s="415">
        <f>(F30+M30)/2</f>
        <v>0.13435</v>
      </c>
      <c r="N32" s="12"/>
    </row>
    <row r="33" spans="1:14" ht="16.5">
      <c r="A33" s="76" t="s">
        <v>66</v>
      </c>
      <c r="B33" s="12"/>
      <c r="C33" s="12"/>
      <c r="D33" s="12"/>
      <c r="E33" s="12"/>
      <c r="F33" s="12"/>
      <c r="G33" s="12"/>
      <c r="H33" s="12"/>
      <c r="I33" s="12"/>
      <c r="J33" s="12"/>
      <c r="K33" s="12"/>
      <c r="L33" s="12"/>
      <c r="M33" s="12"/>
      <c r="N33" s="12"/>
    </row>
    <row r="34" spans="1:14">
      <c r="A34" s="12"/>
      <c r="B34" s="12"/>
      <c r="C34" s="12"/>
      <c r="D34" s="12"/>
      <c r="E34" s="12"/>
      <c r="F34" s="12"/>
      <c r="G34" s="12"/>
      <c r="H34" s="12"/>
      <c r="I34" s="12"/>
      <c r="J34" s="12"/>
      <c r="K34" s="12"/>
      <c r="L34" s="12"/>
      <c r="M34" s="12"/>
      <c r="N34" s="12"/>
    </row>
    <row r="35" spans="1:14">
      <c r="A35" s="12"/>
      <c r="B35" s="12"/>
      <c r="C35" s="12"/>
      <c r="D35" s="12"/>
      <c r="E35" s="12"/>
      <c r="F35" s="12"/>
      <c r="G35" s="12"/>
      <c r="H35" s="12"/>
      <c r="I35" s="12"/>
      <c r="J35" s="12"/>
      <c r="K35" s="12"/>
      <c r="L35" s="12"/>
      <c r="M35" s="12"/>
      <c r="N35" s="12"/>
    </row>
  </sheetData>
  <pageMargins left="0.25" right="0.25" top="0.75" bottom="0.75" header="0.3" footer="0.3"/>
  <pageSetup scale="46"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EAAB1-5671-4283-A0D0-11DDA5DBBF04}">
  <sheetPr>
    <tabColor rgb="FF92D050"/>
  </sheetPr>
  <dimension ref="A1:O59"/>
  <sheetViews>
    <sheetView view="pageBreakPreview" zoomScale="60" zoomScaleNormal="80" workbookViewId="0">
      <selection activeCell="K42" sqref="K42"/>
    </sheetView>
  </sheetViews>
  <sheetFormatPr defaultRowHeight="15"/>
  <cols>
    <col min="1" max="1" width="44.140625" customWidth="1"/>
    <col min="2" max="2" width="14.42578125" customWidth="1"/>
    <col min="3" max="3" width="12.28515625" bestFit="1" customWidth="1"/>
    <col min="4" max="4" width="23.7109375" customWidth="1"/>
    <col min="5" max="5" width="21.28515625" customWidth="1"/>
    <col min="6" max="6" width="19" customWidth="1"/>
    <col min="7" max="7" width="16.42578125" customWidth="1"/>
    <col min="8" max="10" width="19.28515625" customWidth="1"/>
    <col min="11" max="12" width="21.5703125" customWidth="1"/>
    <col min="13" max="13" width="18.28515625" customWidth="1"/>
  </cols>
  <sheetData>
    <row r="1" spans="1:15" ht="20.25">
      <c r="A1" s="24" t="s">
        <v>1</v>
      </c>
      <c r="B1" s="24"/>
      <c r="C1" s="12"/>
      <c r="D1" s="12"/>
      <c r="E1" s="12"/>
      <c r="F1" s="12"/>
      <c r="G1" s="12"/>
      <c r="H1" s="12"/>
      <c r="I1" s="12"/>
      <c r="J1" s="12"/>
      <c r="K1" s="12"/>
      <c r="L1" s="12"/>
      <c r="M1" s="12"/>
      <c r="N1" s="12"/>
      <c r="O1" s="12"/>
    </row>
    <row r="2" spans="1:15" ht="15.75">
      <c r="A2" s="64" t="s">
        <v>9</v>
      </c>
      <c r="B2" s="64"/>
      <c r="C2" s="12"/>
      <c r="D2" s="12"/>
      <c r="E2" s="12"/>
      <c r="F2" s="12"/>
      <c r="G2" s="12"/>
      <c r="H2" s="12"/>
      <c r="I2" s="12"/>
      <c r="J2" s="12"/>
      <c r="K2" s="12"/>
      <c r="L2" s="12"/>
      <c r="M2" s="12"/>
      <c r="N2" s="12"/>
      <c r="O2" s="12"/>
    </row>
    <row r="3" spans="1:15">
      <c r="A3" s="26" t="s">
        <v>76</v>
      </c>
      <c r="B3" s="44"/>
      <c r="C3" s="12"/>
      <c r="D3" s="12"/>
      <c r="E3" s="12"/>
      <c r="F3" s="12"/>
      <c r="G3" s="12"/>
      <c r="H3" s="12"/>
      <c r="I3" s="12"/>
      <c r="J3" s="12"/>
      <c r="K3" s="12"/>
      <c r="L3" s="12"/>
      <c r="M3" s="12"/>
      <c r="N3" s="12"/>
      <c r="O3" s="12"/>
    </row>
    <row r="4" spans="1:15">
      <c r="A4" s="12"/>
      <c r="B4" s="12"/>
      <c r="C4" s="12"/>
      <c r="D4" s="12"/>
      <c r="E4" s="27" t="s">
        <v>0</v>
      </c>
      <c r="F4" s="12"/>
      <c r="G4" s="12"/>
      <c r="H4" s="12"/>
      <c r="I4" s="12"/>
      <c r="J4" s="12"/>
      <c r="K4" s="12"/>
      <c r="L4" s="12"/>
      <c r="M4" s="12"/>
      <c r="N4" s="12"/>
      <c r="O4" s="12"/>
    </row>
    <row r="5" spans="1:15" ht="16.5" thickBot="1">
      <c r="A5" s="64"/>
      <c r="B5" s="64"/>
      <c r="C5" s="12"/>
      <c r="D5" s="12"/>
      <c r="E5" s="12"/>
      <c r="F5" s="12"/>
      <c r="G5" s="12"/>
      <c r="H5" s="12"/>
      <c r="I5" s="12"/>
      <c r="J5" s="12"/>
      <c r="K5" s="12"/>
      <c r="L5" s="12"/>
      <c r="M5" s="12"/>
      <c r="N5" s="12"/>
      <c r="O5" s="12"/>
    </row>
    <row r="6" spans="1:15" ht="18.75" thickBot="1">
      <c r="A6" s="279" t="str">
        <f>+'S&amp;D'!A12</f>
        <v>Electric Wholesale (non-regulated) Power Generator</v>
      </c>
      <c r="B6" s="406"/>
      <c r="C6" s="207"/>
      <c r="D6" s="12"/>
      <c r="E6" s="12"/>
      <c r="F6" s="12"/>
      <c r="G6" s="12"/>
      <c r="H6" s="12"/>
      <c r="I6" s="12"/>
      <c r="J6" s="12"/>
      <c r="K6" s="12"/>
      <c r="L6" s="12"/>
      <c r="M6" s="12"/>
      <c r="N6" s="12"/>
      <c r="O6" s="12"/>
    </row>
    <row r="7" spans="1:15" ht="16.5" thickBot="1">
      <c r="A7" s="64"/>
      <c r="B7" s="64"/>
      <c r="C7" s="29"/>
      <c r="D7" s="29"/>
      <c r="E7" s="29"/>
      <c r="F7" s="29"/>
      <c r="G7" s="29"/>
      <c r="H7" s="12"/>
      <c r="I7" s="29"/>
      <c r="J7" s="29"/>
      <c r="K7" s="29"/>
      <c r="L7" s="29"/>
      <c r="M7" s="29"/>
      <c r="N7" s="12"/>
      <c r="O7" s="12"/>
    </row>
    <row r="8" spans="1:15" ht="20.25">
      <c r="B8" s="31"/>
      <c r="C8" s="12"/>
      <c r="D8" s="12"/>
      <c r="E8" s="32" t="s">
        <v>253</v>
      </c>
      <c r="F8" s="12"/>
      <c r="G8" s="12"/>
      <c r="H8" s="12"/>
      <c r="I8" s="12"/>
      <c r="J8" s="12"/>
      <c r="K8" s="32" t="s">
        <v>254</v>
      </c>
      <c r="L8" s="12"/>
      <c r="M8" s="12"/>
      <c r="N8" s="12"/>
      <c r="O8" s="12"/>
    </row>
    <row r="9" spans="1:15" ht="18.75" thickBot="1">
      <c r="A9" s="31"/>
      <c r="B9" s="31"/>
      <c r="C9" s="29"/>
      <c r="D9" s="29"/>
      <c r="E9" s="37" t="s">
        <v>90</v>
      </c>
      <c r="F9" s="29"/>
      <c r="G9" s="29"/>
      <c r="H9" s="12"/>
      <c r="I9" s="29"/>
      <c r="J9" s="29"/>
      <c r="K9" s="37" t="s">
        <v>90</v>
      </c>
      <c r="L9" s="29"/>
      <c r="M9" s="29"/>
      <c r="N9" s="12"/>
      <c r="O9" s="12"/>
    </row>
    <row r="10" spans="1:15" ht="15.75" thickBot="1">
      <c r="A10" s="34" t="s">
        <v>0</v>
      </c>
      <c r="B10" s="34"/>
      <c r="C10" s="34" t="s">
        <v>0</v>
      </c>
      <c r="D10" s="34" t="s">
        <v>0</v>
      </c>
      <c r="E10" s="34" t="s">
        <v>0</v>
      </c>
      <c r="F10" s="34" t="s">
        <v>0</v>
      </c>
      <c r="G10" s="34" t="s">
        <v>0</v>
      </c>
      <c r="H10" s="12"/>
      <c r="I10" s="29"/>
      <c r="J10" s="29"/>
      <c r="K10" s="29"/>
      <c r="L10" s="29"/>
      <c r="M10" s="29"/>
      <c r="N10" s="12"/>
      <c r="O10" s="12"/>
    </row>
    <row r="11" spans="1:15">
      <c r="A11" s="35" t="s">
        <v>0</v>
      </c>
      <c r="B11" s="35"/>
      <c r="C11" s="35" t="s">
        <v>3</v>
      </c>
      <c r="D11" s="35" t="s">
        <v>0</v>
      </c>
      <c r="E11" s="35" t="s">
        <v>127</v>
      </c>
      <c r="F11" s="35" t="s">
        <v>127</v>
      </c>
      <c r="G11" s="35" t="s">
        <v>27</v>
      </c>
      <c r="H11" s="12"/>
      <c r="I11" s="35" t="s">
        <v>3</v>
      </c>
      <c r="J11" s="35" t="s">
        <v>0</v>
      </c>
      <c r="K11" s="35" t="s">
        <v>127</v>
      </c>
      <c r="L11" s="35" t="s">
        <v>127</v>
      </c>
      <c r="M11" s="35" t="s">
        <v>27</v>
      </c>
      <c r="N11" s="12"/>
      <c r="O11" s="12"/>
    </row>
    <row r="12" spans="1:15" ht="15.75" thickBot="1">
      <c r="A12" s="37" t="s">
        <v>2</v>
      </c>
      <c r="B12" s="37"/>
      <c r="C12" s="37" t="s">
        <v>4</v>
      </c>
      <c r="D12" s="37" t="s">
        <v>28</v>
      </c>
      <c r="E12" s="37" t="s">
        <v>189</v>
      </c>
      <c r="F12" s="37" t="s">
        <v>29</v>
      </c>
      <c r="G12" s="37" t="s">
        <v>30</v>
      </c>
      <c r="H12" s="12"/>
      <c r="I12" s="37" t="s">
        <v>4</v>
      </c>
      <c r="J12" s="37" t="s">
        <v>28</v>
      </c>
      <c r="K12" s="37" t="s">
        <v>189</v>
      </c>
      <c r="L12" s="37" t="s">
        <v>29</v>
      </c>
      <c r="M12" s="37" t="s">
        <v>30</v>
      </c>
      <c r="N12" s="12"/>
      <c r="O12" s="12"/>
    </row>
    <row r="13" spans="1:15">
      <c r="A13" s="39" t="s">
        <v>0</v>
      </c>
      <c r="B13" s="39"/>
      <c r="C13" s="39" t="s">
        <v>0</v>
      </c>
      <c r="D13" s="40" t="s">
        <v>129</v>
      </c>
      <c r="E13" s="77" t="s">
        <v>130</v>
      </c>
      <c r="F13" s="39" t="s">
        <v>0</v>
      </c>
      <c r="G13" s="39" t="s">
        <v>0</v>
      </c>
      <c r="H13" s="12"/>
      <c r="I13" s="39" t="s">
        <v>0</v>
      </c>
      <c r="J13" s="40" t="s">
        <v>129</v>
      </c>
      <c r="K13" s="77" t="s">
        <v>128</v>
      </c>
      <c r="L13" s="39" t="s">
        <v>0</v>
      </c>
      <c r="M13" s="39" t="s">
        <v>0</v>
      </c>
      <c r="N13" s="12"/>
      <c r="O13" s="12"/>
    </row>
    <row r="14" spans="1:15">
      <c r="A14" s="35"/>
      <c r="B14" s="35"/>
      <c r="C14" s="35"/>
      <c r="D14" s="35"/>
      <c r="E14" s="35"/>
      <c r="F14" s="35"/>
      <c r="G14" s="35"/>
      <c r="H14" s="12"/>
      <c r="I14" s="35"/>
      <c r="J14" s="35"/>
      <c r="K14" s="35"/>
      <c r="L14" s="35"/>
      <c r="M14" s="35"/>
      <c r="N14" s="12"/>
      <c r="O14" s="12"/>
    </row>
    <row r="15" spans="1:15">
      <c r="A15" s="12"/>
      <c r="B15" s="12"/>
      <c r="C15" s="12"/>
      <c r="D15" s="12"/>
      <c r="E15" s="12"/>
      <c r="F15" s="12"/>
      <c r="G15" s="12"/>
      <c r="H15" s="12"/>
      <c r="I15" s="12"/>
      <c r="J15" s="12"/>
      <c r="K15" s="12"/>
      <c r="L15" s="12"/>
      <c r="M15" s="12"/>
      <c r="N15" s="12"/>
      <c r="O15" s="12"/>
    </row>
    <row r="16" spans="1:15" ht="15.75">
      <c r="A16" s="44" t="str">
        <f>+'S&amp;D'!A22</f>
        <v>AES CORPORATION</v>
      </c>
      <c r="B16" s="44"/>
      <c r="C16" s="35" t="str">
        <f>+'S&amp;D'!B22</f>
        <v>AES</v>
      </c>
      <c r="D16" s="61">
        <f>'S&amp;D'!G22</f>
        <v>28.76</v>
      </c>
      <c r="E16" s="362">
        <v>0.82</v>
      </c>
      <c r="F16" s="71">
        <f>D16/E16</f>
        <v>35.073170731707322</v>
      </c>
      <c r="G16" s="58">
        <f t="shared" ref="G16:G22" si="0">1/F16</f>
        <v>2.8511821974965226E-2</v>
      </c>
      <c r="H16" s="12"/>
      <c r="I16" s="35" t="s">
        <v>45</v>
      </c>
      <c r="J16" s="61">
        <f>+D16</f>
        <v>28.76</v>
      </c>
      <c r="K16" s="63">
        <v>1.05</v>
      </c>
      <c r="L16" s="71">
        <f>J16/K16</f>
        <v>27.390476190476189</v>
      </c>
      <c r="M16" s="58">
        <f t="shared" ref="M16:M22" si="1">1/L16</f>
        <v>3.6509040333796941E-2</v>
      </c>
      <c r="N16" s="12"/>
      <c r="O16" s="12"/>
    </row>
    <row r="17" spans="1:15" ht="15.75">
      <c r="A17" s="44" t="str">
        <f>+'S&amp;D'!A23</f>
        <v>DOMINION ENERGY INC</v>
      </c>
      <c r="B17" s="44"/>
      <c r="C17" s="35" t="str">
        <f>+'S&amp;D'!B23</f>
        <v>D</v>
      </c>
      <c r="D17" s="61">
        <f>'S&amp;D'!G23</f>
        <v>61.32</v>
      </c>
      <c r="E17" s="63">
        <v>4.0999999999999996</v>
      </c>
      <c r="F17" s="71">
        <f t="shared" ref="F17:F22" si="2">D17/E17</f>
        <v>14.956097560975611</v>
      </c>
      <c r="G17" s="58">
        <f t="shared" si="0"/>
        <v>6.6862361382909324E-2</v>
      </c>
      <c r="H17" s="12"/>
      <c r="I17" s="35" t="s">
        <v>46</v>
      </c>
      <c r="J17" s="61">
        <f t="shared" ref="J17:J22" si="3">+D17</f>
        <v>61.32</v>
      </c>
      <c r="K17" s="63">
        <v>4.2</v>
      </c>
      <c r="L17" s="71">
        <f t="shared" ref="L17:L22" si="4">J17/K17</f>
        <v>14.6</v>
      </c>
      <c r="M17" s="58">
        <f t="shared" si="1"/>
        <v>6.8493150684931503E-2</v>
      </c>
      <c r="N17" s="12"/>
      <c r="O17" s="12"/>
    </row>
    <row r="18" spans="1:15" ht="15.75">
      <c r="A18" s="44" t="str">
        <f>+'S&amp;D'!A24</f>
        <v>EXELON CORPORATION</v>
      </c>
      <c r="B18" s="44"/>
      <c r="C18" s="35" t="str">
        <f>+'S&amp;D'!B24</f>
        <v>EXC</v>
      </c>
      <c r="D18" s="61">
        <f>'S&amp;D'!G24</f>
        <v>43.23</v>
      </c>
      <c r="E18" s="63">
        <v>2.25</v>
      </c>
      <c r="F18" s="71">
        <f t="shared" si="2"/>
        <v>19.213333333333331</v>
      </c>
      <c r="G18" s="58">
        <f t="shared" si="0"/>
        <v>5.2047189451769608E-2</v>
      </c>
      <c r="H18" s="12"/>
      <c r="I18" s="35" t="s">
        <v>48</v>
      </c>
      <c r="J18" s="61">
        <f t="shared" si="3"/>
        <v>43.23</v>
      </c>
      <c r="K18" s="63">
        <v>2.4</v>
      </c>
      <c r="L18" s="71">
        <f t="shared" si="4"/>
        <v>18.012499999999999</v>
      </c>
      <c r="M18" s="58">
        <f t="shared" si="1"/>
        <v>5.5517002081887583E-2</v>
      </c>
      <c r="N18" s="12"/>
      <c r="O18" s="12"/>
    </row>
    <row r="19" spans="1:15" ht="15.75">
      <c r="A19" s="44" t="str">
        <f>+'S&amp;D'!A25</f>
        <v>NEXTERA ENERGY INC</v>
      </c>
      <c r="B19" s="44"/>
      <c r="C19" s="35" t="str">
        <f>+'S&amp;D'!B25</f>
        <v>NEE</v>
      </c>
      <c r="D19" s="61">
        <f>'S&amp;D'!G25</f>
        <v>83.6</v>
      </c>
      <c r="E19" s="63">
        <v>2.9</v>
      </c>
      <c r="F19" s="71">
        <f t="shared" ref="F19" si="5">D19/E19</f>
        <v>28.827586206896552</v>
      </c>
      <c r="G19" s="58">
        <f t="shared" ref="G19" si="6">1/F19</f>
        <v>3.4688995215311005E-2</v>
      </c>
      <c r="H19" s="12"/>
      <c r="I19" s="35" t="s">
        <v>48</v>
      </c>
      <c r="J19" s="61">
        <f t="shared" ref="J19" si="7">+D19</f>
        <v>83.6</v>
      </c>
      <c r="K19" s="63">
        <v>3.15</v>
      </c>
      <c r="L19" s="71">
        <f t="shared" ref="L19" si="8">J19/K19</f>
        <v>26.539682539682538</v>
      </c>
      <c r="M19" s="58">
        <f t="shared" ref="M19" si="9">1/L19</f>
        <v>3.7679425837320576E-2</v>
      </c>
      <c r="N19" s="12"/>
      <c r="O19" s="12"/>
    </row>
    <row r="20" spans="1:15" ht="15.75">
      <c r="A20" s="44" t="str">
        <f>+'S&amp;D'!A26</f>
        <v>NRG ENERGY</v>
      </c>
      <c r="B20" s="44"/>
      <c r="C20" s="35" t="str">
        <f>+'S&amp;D'!B26</f>
        <v>NRG</v>
      </c>
      <c r="D20" s="61">
        <f>'S&amp;D'!G26</f>
        <v>31.82</v>
      </c>
      <c r="E20" s="63">
        <v>5.17</v>
      </c>
      <c r="F20" s="71">
        <f>D20/E20</f>
        <v>6.1547388781431334</v>
      </c>
      <c r="G20" s="58">
        <f t="shared" si="0"/>
        <v>0.16247642991829039</v>
      </c>
      <c r="H20" s="12"/>
      <c r="I20" s="35" t="s">
        <v>49</v>
      </c>
      <c r="J20" s="61">
        <f t="shared" si="3"/>
        <v>31.82</v>
      </c>
      <c r="K20" s="63">
        <v>6.3</v>
      </c>
      <c r="L20" s="71">
        <f t="shared" si="4"/>
        <v>5.0507936507936506</v>
      </c>
      <c r="M20" s="58">
        <f t="shared" si="1"/>
        <v>0.1979886863607794</v>
      </c>
      <c r="N20" s="12"/>
      <c r="O20" s="12"/>
    </row>
    <row r="21" spans="1:15" ht="15.75">
      <c r="A21" s="44" t="str">
        <f>+'S&amp;D'!A27</f>
        <v>SOUTHERN COMPANY</v>
      </c>
      <c r="B21" s="44"/>
      <c r="C21" s="35" t="str">
        <f>+'S&amp;D'!B27</f>
        <v>SO</v>
      </c>
      <c r="D21" s="61">
        <f>'S&amp;D'!G27</f>
        <v>71.41</v>
      </c>
      <c r="E21" s="63">
        <v>3.55</v>
      </c>
      <c r="F21" s="71">
        <f t="shared" si="2"/>
        <v>20.115492957746479</v>
      </c>
      <c r="G21" s="58">
        <f t="shared" si="0"/>
        <v>4.9712925360593754E-2</v>
      </c>
      <c r="H21" s="12"/>
      <c r="I21" s="35" t="s">
        <v>50</v>
      </c>
      <c r="J21" s="61">
        <f t="shared" si="3"/>
        <v>71.41</v>
      </c>
      <c r="K21" s="63">
        <v>3.7</v>
      </c>
      <c r="L21" s="71">
        <f t="shared" si="4"/>
        <v>19.299999999999997</v>
      </c>
      <c r="M21" s="58">
        <f t="shared" si="1"/>
        <v>5.1813471502590684E-2</v>
      </c>
      <c r="N21" s="12"/>
      <c r="O21" s="12"/>
    </row>
    <row r="22" spans="1:15" ht="15.75">
      <c r="A22" s="44" t="str">
        <f>+'S&amp;D'!A28</f>
        <v>VISTRA ENERGY CORPORATION</v>
      </c>
      <c r="B22" s="44"/>
      <c r="C22" s="35" t="str">
        <f>+'S&amp;D'!B28</f>
        <v>VST</v>
      </c>
      <c r="D22" s="61">
        <f>'S&amp;D'!G28</f>
        <v>23.2</v>
      </c>
      <c r="E22" s="362">
        <v>2.9</v>
      </c>
      <c r="F22" s="71">
        <f t="shared" si="2"/>
        <v>8</v>
      </c>
      <c r="G22" s="58">
        <f t="shared" si="0"/>
        <v>0.125</v>
      </c>
      <c r="H22" s="12"/>
      <c r="I22" s="35" t="s">
        <v>47</v>
      </c>
      <c r="J22" s="61">
        <f t="shared" si="3"/>
        <v>23.2</v>
      </c>
      <c r="K22" s="63">
        <v>2.65</v>
      </c>
      <c r="L22" s="71">
        <f t="shared" si="4"/>
        <v>8.7547169811320753</v>
      </c>
      <c r="M22" s="58">
        <f t="shared" si="1"/>
        <v>0.11422413793103449</v>
      </c>
      <c r="N22" s="12"/>
      <c r="O22" s="12"/>
    </row>
    <row r="23" spans="1:15" ht="16.5" thickBot="1">
      <c r="A23" s="12"/>
      <c r="B23" s="12"/>
      <c r="C23" s="72"/>
      <c r="D23" s="72"/>
      <c r="E23" s="72"/>
      <c r="F23" s="72"/>
      <c r="G23" s="72"/>
      <c r="H23" s="12"/>
      <c r="I23" s="72"/>
      <c r="J23" s="66" t="s">
        <v>0</v>
      </c>
      <c r="K23" s="72"/>
      <c r="L23" s="72"/>
      <c r="M23" s="72"/>
      <c r="N23" s="12"/>
      <c r="O23" s="12"/>
    </row>
    <row r="24" spans="1:15" ht="15.75" thickTop="1">
      <c r="A24" s="12"/>
      <c r="B24" s="12"/>
      <c r="D24" s="14" t="s">
        <v>53</v>
      </c>
      <c r="E24" s="316">
        <v>6.78</v>
      </c>
      <c r="F24" s="316">
        <v>22.3</v>
      </c>
      <c r="G24" s="310">
        <v>0.11550000000000001</v>
      </c>
      <c r="H24" s="12"/>
      <c r="J24" s="14" t="s">
        <v>53</v>
      </c>
      <c r="K24" s="316">
        <v>6.25</v>
      </c>
      <c r="L24" s="316">
        <v>20.76</v>
      </c>
      <c r="M24" s="310">
        <v>6.8099999999999994E-2</v>
      </c>
      <c r="N24" s="12"/>
      <c r="O24" s="12"/>
    </row>
    <row r="25" spans="1:15">
      <c r="A25" s="12"/>
      <c r="B25" s="12"/>
      <c r="D25" s="303" t="s">
        <v>54</v>
      </c>
      <c r="E25" s="320">
        <v>1.38</v>
      </c>
      <c r="F25" s="320">
        <v>8.66</v>
      </c>
      <c r="G25" s="311">
        <v>4.48E-2</v>
      </c>
      <c r="H25" s="12"/>
      <c r="J25" s="303" t="s">
        <v>54</v>
      </c>
      <c r="K25" s="320">
        <v>1.5</v>
      </c>
      <c r="L25" s="320">
        <v>14.68</v>
      </c>
      <c r="M25" s="311">
        <v>4.82E-2</v>
      </c>
      <c r="N25" s="12"/>
      <c r="O25" s="12"/>
    </row>
    <row r="26" spans="1:15">
      <c r="A26" s="12"/>
      <c r="B26" s="12"/>
      <c r="D26" s="14" t="s">
        <v>18</v>
      </c>
      <c r="E26" s="73">
        <f>MEDIAN(E16:E22)</f>
        <v>2.9</v>
      </c>
      <c r="F26" s="21">
        <f>MEDIAN(F16:F22)</f>
        <v>19.213333333333331</v>
      </c>
      <c r="G26" s="58">
        <f>MEDIAN(G16:G22)</f>
        <v>5.2047189451769608E-2</v>
      </c>
      <c r="H26" s="12"/>
      <c r="J26" s="14" t="s">
        <v>18</v>
      </c>
      <c r="K26" s="73">
        <f>MEDIAN(K16:K22)</f>
        <v>3.15</v>
      </c>
      <c r="L26" s="21">
        <f>MEDIAN(L16:L22)</f>
        <v>18.012499999999999</v>
      </c>
      <c r="M26" s="58">
        <f>MEDIAN(M16:M22)</f>
        <v>5.5517002081887583E-2</v>
      </c>
      <c r="N26" s="12"/>
      <c r="O26" s="12"/>
    </row>
    <row r="27" spans="1:15">
      <c r="A27" s="12"/>
      <c r="B27" s="12"/>
      <c r="D27" s="14" t="s">
        <v>457</v>
      </c>
      <c r="E27" s="17">
        <f>AVERAGE(E16:E22)</f>
        <v>3.0985714285714283</v>
      </c>
      <c r="F27" s="21">
        <f>AVERAGE(F16:F22)</f>
        <v>18.905774238400348</v>
      </c>
      <c r="G27" s="74">
        <f>AVERAGE(G16:G22)</f>
        <v>7.4185674757691319E-2</v>
      </c>
      <c r="H27" s="12"/>
      <c r="J27" s="14" t="s">
        <v>457</v>
      </c>
      <c r="K27" s="17">
        <f>AVERAGE(K16:K22)</f>
        <v>3.35</v>
      </c>
      <c r="L27" s="21">
        <f>AVERAGE(L16:L22)</f>
        <v>17.092595623154924</v>
      </c>
      <c r="M27" s="74">
        <f>AVERAGE(M16:M22)</f>
        <v>8.0317844961763044E-2</v>
      </c>
      <c r="N27" s="12"/>
      <c r="O27" s="12"/>
    </row>
    <row r="28" spans="1:15">
      <c r="A28" s="12"/>
      <c r="B28" s="12"/>
      <c r="C28" s="12"/>
      <c r="D28" s="12"/>
      <c r="E28" s="12"/>
      <c r="F28" s="12"/>
      <c r="G28" s="12"/>
      <c r="H28" s="12"/>
      <c r="I28" s="12"/>
      <c r="J28" s="12"/>
      <c r="K28" s="12"/>
      <c r="L28" s="12"/>
      <c r="M28" s="12"/>
      <c r="N28" s="12"/>
      <c r="O28" s="12"/>
    </row>
    <row r="29" spans="1:15" ht="20.25">
      <c r="A29" s="12"/>
      <c r="B29" s="12"/>
      <c r="C29" s="12"/>
      <c r="D29" s="12"/>
      <c r="E29" s="78" t="s">
        <v>88</v>
      </c>
      <c r="F29" s="423">
        <v>18.91</v>
      </c>
      <c r="G29" s="356">
        <v>7.4200000000000002E-2</v>
      </c>
      <c r="H29" s="12"/>
      <c r="I29" s="12"/>
      <c r="J29" s="12"/>
      <c r="K29" s="78" t="s">
        <v>88</v>
      </c>
      <c r="L29" s="422">
        <v>17.09</v>
      </c>
      <c r="M29" s="356">
        <v>8.0299999999999996E-2</v>
      </c>
      <c r="N29" s="12"/>
      <c r="O29" s="12"/>
    </row>
    <row r="30" spans="1:15">
      <c r="A30" s="12"/>
      <c r="B30" s="12"/>
      <c r="C30" s="12"/>
      <c r="D30" s="12"/>
      <c r="E30" s="12"/>
      <c r="F30" s="12"/>
      <c r="K30" s="12"/>
      <c r="L30" s="12"/>
      <c r="M30" s="12"/>
      <c r="N30" s="12"/>
      <c r="O30" s="12"/>
    </row>
    <row r="31" spans="1:15">
      <c r="A31" s="12"/>
      <c r="B31" s="12"/>
      <c r="C31" s="12"/>
      <c r="D31" s="12"/>
      <c r="E31" s="12"/>
      <c r="F31" s="12"/>
      <c r="K31" s="12"/>
      <c r="L31" s="12"/>
      <c r="M31" s="12"/>
      <c r="N31" s="12"/>
      <c r="O31" s="12"/>
    </row>
    <row r="32" spans="1:15" ht="15.75" thickBot="1">
      <c r="A32" s="12"/>
      <c r="B32" s="12"/>
      <c r="C32" s="12"/>
      <c r="D32" s="12"/>
      <c r="E32" s="12"/>
      <c r="F32" s="12"/>
      <c r="K32" s="12"/>
      <c r="L32" s="12"/>
      <c r="M32" s="12"/>
      <c r="N32" s="12"/>
      <c r="O32" s="12"/>
    </row>
    <row r="33" spans="1:15" ht="30.75" customHeight="1" thickBot="1">
      <c r="A33" s="76" t="s">
        <v>0</v>
      </c>
      <c r="B33" s="76"/>
      <c r="C33" s="12"/>
      <c r="D33" s="12"/>
      <c r="E33" s="12"/>
      <c r="F33" s="12"/>
      <c r="G33" s="24" t="s">
        <v>140</v>
      </c>
      <c r="H33" s="12"/>
      <c r="I33" s="235">
        <f>(+F29+L29)/2</f>
        <v>18</v>
      </c>
      <c r="J33" s="236">
        <f>(+G29+M29)/2</f>
        <v>7.7249999999999999E-2</v>
      </c>
      <c r="N33" s="12"/>
      <c r="O33" s="12"/>
    </row>
    <row r="34" spans="1:15" ht="16.5">
      <c r="A34" s="76" t="s">
        <v>0</v>
      </c>
      <c r="B34" s="76"/>
      <c r="C34" s="12"/>
      <c r="D34" s="12"/>
      <c r="E34" s="12"/>
      <c r="F34" s="12"/>
      <c r="G34" s="12"/>
      <c r="H34" s="12"/>
      <c r="I34" s="12"/>
      <c r="J34" s="12"/>
      <c r="K34" s="12"/>
      <c r="L34" s="12"/>
      <c r="M34" s="12"/>
      <c r="N34" s="12"/>
      <c r="O34" s="12"/>
    </row>
    <row r="35" spans="1:15">
      <c r="A35" s="12"/>
      <c r="B35" s="12"/>
      <c r="C35" s="12"/>
      <c r="D35" s="12"/>
      <c r="E35" s="12"/>
      <c r="F35" s="12"/>
      <c r="G35" s="12"/>
      <c r="H35" s="12"/>
      <c r="I35" s="12"/>
      <c r="J35" s="12"/>
      <c r="K35" s="12"/>
      <c r="L35" s="12"/>
      <c r="M35" s="12"/>
      <c r="N35" s="12"/>
      <c r="O35" s="12"/>
    </row>
    <row r="36" spans="1:15">
      <c r="A36" s="12"/>
      <c r="B36" s="12"/>
      <c r="C36" s="12"/>
      <c r="D36" s="12"/>
      <c r="E36" s="12"/>
      <c r="F36" s="12"/>
      <c r="G36" s="12"/>
      <c r="H36" s="12"/>
      <c r="I36" s="12"/>
      <c r="J36" s="12"/>
      <c r="K36" s="12"/>
      <c r="L36" s="12"/>
      <c r="M36" s="12"/>
      <c r="N36" s="12"/>
      <c r="O36" s="12"/>
    </row>
    <row r="37" spans="1:15" ht="15.75" thickBot="1">
      <c r="B37" s="161"/>
      <c r="C37" s="161"/>
      <c r="D37" s="161"/>
      <c r="E37" s="161"/>
      <c r="F37" s="161"/>
      <c r="G37" s="161"/>
      <c r="H37" s="161"/>
    </row>
    <row r="38" spans="1:15" ht="20.25">
      <c r="B38" s="31"/>
      <c r="C38" s="12"/>
      <c r="D38" s="12"/>
      <c r="E38" s="32" t="s">
        <v>382</v>
      </c>
      <c r="F38" s="12"/>
      <c r="G38" s="12"/>
    </row>
    <row r="39" spans="1:15" ht="18.75" thickBot="1">
      <c r="A39" s="31"/>
      <c r="B39" s="162"/>
      <c r="C39" s="29"/>
      <c r="D39" s="29"/>
      <c r="E39" s="37" t="s">
        <v>90</v>
      </c>
      <c r="F39" s="29"/>
      <c r="G39" s="29"/>
      <c r="H39" s="161"/>
    </row>
    <row r="40" spans="1:15" ht="15.75" thickBot="1">
      <c r="A40" s="34" t="s">
        <v>0</v>
      </c>
      <c r="B40" s="34"/>
      <c r="C40" s="34" t="s">
        <v>0</v>
      </c>
      <c r="D40" s="34" t="s">
        <v>0</v>
      </c>
      <c r="E40" s="34" t="s">
        <v>0</v>
      </c>
      <c r="F40" s="34" t="s">
        <v>0</v>
      </c>
      <c r="G40" s="34" t="s">
        <v>0</v>
      </c>
    </row>
    <row r="41" spans="1:15">
      <c r="A41" s="35" t="s">
        <v>0</v>
      </c>
      <c r="B41" s="35"/>
      <c r="C41" s="35" t="s">
        <v>3</v>
      </c>
      <c r="D41" s="35" t="s">
        <v>380</v>
      </c>
      <c r="E41" s="35" t="s">
        <v>381</v>
      </c>
      <c r="F41" s="35" t="s">
        <v>127</v>
      </c>
      <c r="G41" s="35" t="s">
        <v>27</v>
      </c>
    </row>
    <row r="42" spans="1:15" ht="15.75" thickBot="1">
      <c r="A42" s="37" t="s">
        <v>2</v>
      </c>
      <c r="B42" s="37"/>
      <c r="C42" s="37" t="s">
        <v>4</v>
      </c>
      <c r="D42" s="37" t="s">
        <v>28</v>
      </c>
      <c r="E42" s="37" t="s">
        <v>184</v>
      </c>
      <c r="F42" s="37" t="s">
        <v>29</v>
      </c>
      <c r="G42" s="37" t="s">
        <v>30</v>
      </c>
    </row>
    <row r="43" spans="1:15">
      <c r="A43" s="39" t="s">
        <v>0</v>
      </c>
      <c r="B43" s="39"/>
      <c r="C43" s="39" t="s">
        <v>0</v>
      </c>
      <c r="D43" s="40" t="s">
        <v>129</v>
      </c>
      <c r="E43" s="77" t="s">
        <v>260</v>
      </c>
      <c r="F43" s="39" t="s">
        <v>0</v>
      </c>
      <c r="G43" s="39" t="s">
        <v>0</v>
      </c>
    </row>
    <row r="44" spans="1:15">
      <c r="A44" s="35"/>
      <c r="B44" s="35"/>
      <c r="C44" s="35"/>
      <c r="D44" s="35"/>
      <c r="E44" s="35"/>
      <c r="F44" s="35"/>
      <c r="G44" s="35"/>
    </row>
    <row r="45" spans="1:15">
      <c r="A45" s="12"/>
      <c r="B45" s="12"/>
      <c r="C45" s="12"/>
      <c r="D45" s="12"/>
      <c r="E45" s="12"/>
      <c r="F45" s="12"/>
      <c r="G45" s="12"/>
    </row>
    <row r="46" spans="1:15" ht="15.75">
      <c r="A46" s="44" t="str">
        <f>+'S&amp;D'!A22</f>
        <v>AES CORPORATION</v>
      </c>
      <c r="B46" s="44"/>
      <c r="C46" s="35" t="str">
        <f>+'S&amp;D'!B22</f>
        <v>AES</v>
      </c>
      <c r="D46" s="61">
        <f>'S&amp;D'!G22</f>
        <v>28.76</v>
      </c>
      <c r="E46" s="63">
        <v>1.65</v>
      </c>
      <c r="F46" s="71">
        <f>D46/E46</f>
        <v>17.430303030303033</v>
      </c>
      <c r="G46" s="58">
        <f t="shared" ref="G46:G52" si="10">1/F46</f>
        <v>5.7371349095966612E-2</v>
      </c>
    </row>
    <row r="47" spans="1:15" ht="15.75">
      <c r="A47" s="44" t="str">
        <f>+'S&amp;D'!A23</f>
        <v>DOMINION ENERGY INC</v>
      </c>
      <c r="B47" s="44"/>
      <c r="C47" s="35" t="str">
        <f>+'S&amp;D'!B23</f>
        <v>D</v>
      </c>
      <c r="D47" s="61">
        <f>'S&amp;D'!G23</f>
        <v>61.32</v>
      </c>
      <c r="E47" s="63">
        <v>5.0999999999999996</v>
      </c>
      <c r="F47" s="71">
        <f t="shared" ref="F47:F48" si="11">D47/E47</f>
        <v>12.023529411764708</v>
      </c>
      <c r="G47" s="58">
        <f t="shared" si="10"/>
        <v>8.3170254403131097E-2</v>
      </c>
    </row>
    <row r="48" spans="1:15" ht="15.75">
      <c r="A48" s="44" t="str">
        <f>+'S&amp;D'!A24</f>
        <v>EXELON CORPORATION</v>
      </c>
      <c r="B48" s="44"/>
      <c r="C48" s="35" t="str">
        <f>+'S&amp;D'!B24</f>
        <v>EXC</v>
      </c>
      <c r="D48" s="61">
        <f>'S&amp;D'!G24</f>
        <v>43.23</v>
      </c>
      <c r="E48" s="63">
        <v>3</v>
      </c>
      <c r="F48" s="71">
        <f t="shared" si="11"/>
        <v>14.409999999999998</v>
      </c>
      <c r="G48" s="58">
        <f t="shared" si="10"/>
        <v>6.9396252602359487E-2</v>
      </c>
    </row>
    <row r="49" spans="1:7" ht="15.75">
      <c r="A49" s="44" t="str">
        <f>+'S&amp;D'!A25</f>
        <v>NEXTERA ENERGY INC</v>
      </c>
      <c r="B49" s="44"/>
      <c r="C49" s="35" t="str">
        <f>+'S&amp;D'!B25</f>
        <v>NEE</v>
      </c>
      <c r="D49" s="61">
        <f>'S&amp;D'!G25</f>
        <v>83.6</v>
      </c>
      <c r="E49" s="63">
        <v>4.4000000000000004</v>
      </c>
      <c r="F49" s="71">
        <f t="shared" ref="F49" si="12">D49/E49</f>
        <v>18.999999999999996</v>
      </c>
      <c r="G49" s="58">
        <f t="shared" ref="G49" si="13">1/F49</f>
        <v>5.2631578947368432E-2</v>
      </c>
    </row>
    <row r="50" spans="1:7" ht="15.75">
      <c r="A50" s="44" t="str">
        <f>+'S&amp;D'!A26</f>
        <v>NRG ENERGY</v>
      </c>
      <c r="B50" s="44"/>
      <c r="C50" s="35" t="str">
        <f>+'S&amp;D'!B26</f>
        <v>NRG</v>
      </c>
      <c r="D50" s="61">
        <f>'S&amp;D'!G26</f>
        <v>31.82</v>
      </c>
      <c r="E50" s="63">
        <v>4.5999999999999996</v>
      </c>
      <c r="F50" s="71">
        <f>D50/E50</f>
        <v>6.9173913043478263</v>
      </c>
      <c r="G50" s="58">
        <f t="shared" si="10"/>
        <v>0.14456316781898176</v>
      </c>
    </row>
    <row r="51" spans="1:7" ht="15.75">
      <c r="A51" s="44" t="str">
        <f>+'S&amp;D'!A27</f>
        <v>SOUTHERN COMPANY</v>
      </c>
      <c r="B51" s="44"/>
      <c r="C51" s="35" t="str">
        <f>+'S&amp;D'!B27</f>
        <v>SO</v>
      </c>
      <c r="D51" s="61">
        <f>'S&amp;D'!G27</f>
        <v>71.41</v>
      </c>
      <c r="E51" s="63">
        <v>5.15</v>
      </c>
      <c r="F51" s="71">
        <f t="shared" ref="F51:F52" si="14">D51/E51</f>
        <v>13.866019417475727</v>
      </c>
      <c r="G51" s="58">
        <f t="shared" si="10"/>
        <v>7.2118750875227566E-2</v>
      </c>
    </row>
    <row r="52" spans="1:7" ht="15.75">
      <c r="A52" s="44" t="str">
        <f>+'S&amp;D'!A28</f>
        <v>VISTRA ENERGY CORPORATION</v>
      </c>
      <c r="B52" s="44"/>
      <c r="C52" s="35" t="str">
        <f>+'S&amp;D'!B28</f>
        <v>VST</v>
      </c>
      <c r="D52" s="61">
        <f>'S&amp;D'!G28</f>
        <v>23.2</v>
      </c>
      <c r="E52" s="63">
        <v>3.85</v>
      </c>
      <c r="F52" s="71">
        <f t="shared" si="14"/>
        <v>6.0259740259740253</v>
      </c>
      <c r="G52" s="58">
        <f t="shared" si="10"/>
        <v>0.16594827586206898</v>
      </c>
    </row>
    <row r="53" spans="1:7" ht="15.75" thickBot="1">
      <c r="A53" s="12"/>
      <c r="B53" s="12"/>
      <c r="C53" s="72"/>
      <c r="D53" s="72"/>
      <c r="E53" s="72"/>
      <c r="F53" s="72"/>
      <c r="G53" s="72"/>
    </row>
    <row r="54" spans="1:7" ht="15.75" thickTop="1">
      <c r="A54" s="12"/>
      <c r="B54" s="12"/>
      <c r="D54" s="14" t="s">
        <v>53</v>
      </c>
      <c r="E54" s="316">
        <v>8.3000000000000007</v>
      </c>
      <c r="F54" s="316">
        <v>17.309999999999999</v>
      </c>
      <c r="G54" s="310">
        <v>7.9600000000000004E-2</v>
      </c>
    </row>
    <row r="55" spans="1:7">
      <c r="A55" s="12"/>
      <c r="B55" s="12"/>
      <c r="D55" s="14" t="s">
        <v>54</v>
      </c>
      <c r="E55" s="316">
        <v>1.85</v>
      </c>
      <c r="F55" s="316">
        <v>12.56</v>
      </c>
      <c r="G55" s="310">
        <v>5.7799999999999997E-2</v>
      </c>
    </row>
    <row r="56" spans="1:7">
      <c r="A56" s="12"/>
      <c r="B56" s="12"/>
      <c r="D56" s="14" t="s">
        <v>18</v>
      </c>
      <c r="E56" s="73">
        <f>MEDIAN(E46:E52)</f>
        <v>4.4000000000000004</v>
      </c>
      <c r="F56" s="21">
        <f>MEDIAN(F46:F52)</f>
        <v>13.866019417475727</v>
      </c>
      <c r="G56" s="58">
        <f>MEDIAN(G46:G52)</f>
        <v>7.2118750875227566E-2</v>
      </c>
    </row>
    <row r="57" spans="1:7">
      <c r="A57" s="12"/>
      <c r="B57" s="12"/>
      <c r="D57" s="14" t="s">
        <v>457</v>
      </c>
      <c r="E57" s="17">
        <f>AVERAGE(E46:E52)</f>
        <v>3.9642857142857144</v>
      </c>
      <c r="F57" s="21">
        <f>AVERAGE(F46:F52)</f>
        <v>12.810459598552187</v>
      </c>
      <c r="G57" s="74">
        <f>AVERAGE(G46:G52)</f>
        <v>9.2171375657871993E-2</v>
      </c>
    </row>
    <row r="58" spans="1:7">
      <c r="A58" s="12"/>
      <c r="B58" s="12"/>
      <c r="C58" s="12"/>
      <c r="D58" s="12"/>
      <c r="E58" s="12"/>
      <c r="F58" s="12"/>
      <c r="G58" s="12"/>
    </row>
    <row r="59" spans="1:7" ht="20.25">
      <c r="A59" s="12"/>
      <c r="B59" s="12"/>
      <c r="C59" s="12"/>
      <c r="D59" s="12"/>
      <c r="E59" s="78" t="s">
        <v>88</v>
      </c>
      <c r="F59" s="423">
        <v>12.81</v>
      </c>
      <c r="G59" s="356">
        <v>9.2200000000000004E-2</v>
      </c>
    </row>
  </sheetData>
  <pageMargins left="0.25" right="0.25" top="0.75" bottom="0.75" header="0.3" footer="0.3"/>
  <pageSetup scale="36"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AA241-0A64-46CC-9E60-C6F323522AA0}">
  <sheetPr>
    <tabColor rgb="FF92D050"/>
  </sheetPr>
  <dimension ref="A1:K172"/>
  <sheetViews>
    <sheetView view="pageBreakPreview" zoomScale="60" zoomScaleNormal="80" workbookViewId="0">
      <selection activeCell="G18" sqref="G18"/>
    </sheetView>
  </sheetViews>
  <sheetFormatPr defaultRowHeight="15"/>
  <cols>
    <col min="1" max="1" width="66.7109375" customWidth="1"/>
    <col min="2" max="2" width="25.7109375" customWidth="1"/>
    <col min="3" max="3" width="30.28515625" customWidth="1"/>
    <col min="4" max="5" width="30.5703125" customWidth="1"/>
    <col min="6" max="6" width="28.140625" customWidth="1"/>
    <col min="7" max="7" width="32.7109375" customWidth="1"/>
    <col min="8" max="8" width="37.7109375" customWidth="1"/>
    <col min="9" max="9" width="116.28515625" customWidth="1"/>
    <col min="10" max="10" width="13.85546875" customWidth="1"/>
    <col min="11" max="12" width="14.140625" bestFit="1" customWidth="1"/>
  </cols>
  <sheetData>
    <row r="1" spans="1:11" ht="20.25">
      <c r="A1" s="24" t="s">
        <v>1</v>
      </c>
      <c r="C1" s="24"/>
      <c r="D1" s="24"/>
      <c r="E1" s="12"/>
      <c r="F1" s="12"/>
      <c r="G1" s="12"/>
      <c r="H1" s="12"/>
      <c r="I1" s="12"/>
      <c r="J1" s="12"/>
      <c r="K1" s="12"/>
    </row>
    <row r="2" spans="1:11" ht="15.75">
      <c r="A2" s="25" t="s">
        <v>9</v>
      </c>
      <c r="C2" s="25"/>
      <c r="D2" s="25"/>
      <c r="E2" s="12"/>
      <c r="F2" s="12"/>
      <c r="G2" s="12"/>
      <c r="H2" s="12"/>
      <c r="I2" s="12"/>
      <c r="J2" s="12"/>
      <c r="K2" s="12"/>
    </row>
    <row r="3" spans="1:11">
      <c r="A3" s="26" t="s">
        <v>76</v>
      </c>
      <c r="C3" s="26"/>
      <c r="D3" s="26"/>
      <c r="E3" s="12"/>
      <c r="F3" s="12"/>
      <c r="G3" s="12"/>
      <c r="H3" s="12"/>
      <c r="I3" s="12"/>
      <c r="J3" s="12"/>
      <c r="K3" s="12"/>
    </row>
    <row r="4" spans="1:11">
      <c r="B4" s="26"/>
      <c r="C4" s="26"/>
      <c r="D4" s="26"/>
      <c r="E4" s="12"/>
      <c r="F4" s="12"/>
      <c r="G4" s="12"/>
      <c r="H4" s="12"/>
      <c r="I4" s="12"/>
      <c r="J4" s="12"/>
      <c r="K4" s="12"/>
    </row>
    <row r="5" spans="1:11">
      <c r="B5" s="12"/>
      <c r="C5" s="12"/>
      <c r="D5" s="12"/>
      <c r="E5" s="12"/>
      <c r="F5" s="12"/>
      <c r="G5" s="12"/>
      <c r="H5" s="12"/>
      <c r="I5" s="27" t="s">
        <v>0</v>
      </c>
      <c r="J5" s="27"/>
      <c r="K5" s="12"/>
    </row>
    <row r="6" spans="1:11" ht="15.75" thickBot="1">
      <c r="B6" s="12"/>
      <c r="C6" s="12"/>
      <c r="D6" s="29"/>
      <c r="E6" s="29"/>
      <c r="F6" s="161"/>
      <c r="H6" s="12"/>
      <c r="I6" s="12"/>
      <c r="J6" s="12"/>
      <c r="K6" s="12"/>
    </row>
    <row r="7" spans="1:11" ht="21" thickBot="1">
      <c r="A7" s="28" t="str">
        <f>+'S&amp;D'!A12</f>
        <v>Electric Wholesale (non-regulated) Power Generator</v>
      </c>
      <c r="C7" s="31"/>
      <c r="D7" s="31"/>
      <c r="E7" s="32" t="s">
        <v>272</v>
      </c>
      <c r="H7" s="12"/>
      <c r="I7" s="12"/>
      <c r="J7" s="12"/>
      <c r="K7" s="12"/>
    </row>
    <row r="8" spans="1:11" ht="18.75" thickBot="1">
      <c r="B8" s="31"/>
      <c r="C8" s="31"/>
      <c r="D8" s="162"/>
      <c r="E8" s="37" t="s">
        <v>90</v>
      </c>
      <c r="F8" s="161"/>
      <c r="H8" s="12"/>
      <c r="I8" s="12"/>
      <c r="J8" s="12"/>
      <c r="K8" s="12"/>
    </row>
    <row r="9" spans="1:11" ht="18">
      <c r="B9" s="31"/>
      <c r="C9" s="31"/>
      <c r="D9" s="31"/>
      <c r="E9" s="35"/>
      <c r="H9" s="12"/>
      <c r="I9" s="12"/>
      <c r="J9" s="12"/>
      <c r="K9" s="12"/>
    </row>
    <row r="10" spans="1:11" ht="18.75" thickBot="1">
      <c r="A10" s="162"/>
      <c r="B10" s="31"/>
      <c r="I10" s="12"/>
      <c r="J10" s="12"/>
      <c r="K10" s="12"/>
    </row>
    <row r="11" spans="1:11" ht="22.5" customHeight="1" thickBot="1">
      <c r="A11" s="175" t="s">
        <v>266</v>
      </c>
      <c r="B11" s="31"/>
      <c r="I11" s="12"/>
      <c r="J11" s="12"/>
      <c r="K11" s="12"/>
    </row>
    <row r="12" spans="1:11" ht="26.25" customHeight="1" thickBot="1">
      <c r="A12" s="174" t="s">
        <v>0</v>
      </c>
      <c r="B12" s="12"/>
      <c r="C12" s="12"/>
      <c r="D12" s="12"/>
      <c r="E12" s="12"/>
      <c r="F12" s="12"/>
      <c r="G12" s="12"/>
      <c r="H12" s="12"/>
      <c r="I12" s="12"/>
      <c r="J12" s="12"/>
      <c r="K12" s="12"/>
    </row>
    <row r="13" spans="1:11" ht="66.75" customHeight="1" thickBot="1">
      <c r="A13" s="240" t="s">
        <v>291</v>
      </c>
      <c r="B13" s="168" t="s">
        <v>336</v>
      </c>
      <c r="C13" s="168" t="s">
        <v>301</v>
      </c>
      <c r="D13" s="168" t="s">
        <v>300</v>
      </c>
      <c r="I13" s="12"/>
      <c r="J13" s="12"/>
      <c r="K13" s="12"/>
    </row>
    <row r="14" spans="1:11">
      <c r="A14" s="163"/>
      <c r="B14" s="228"/>
      <c r="C14" s="228"/>
      <c r="D14" s="228"/>
      <c r="I14" s="12"/>
      <c r="J14" s="12"/>
      <c r="K14" s="12"/>
    </row>
    <row r="15" spans="1:11" ht="18">
      <c r="A15" s="172" t="str">
        <f>+A7</f>
        <v>Electric Wholesale (non-regulated) Power Generator</v>
      </c>
      <c r="B15" s="424">
        <v>0</v>
      </c>
      <c r="C15" s="252">
        <f>+'Dividends '!K26</f>
        <v>7.4735268605590974E-2</v>
      </c>
      <c r="D15" s="252">
        <f>+Earnings!K26</f>
        <v>0.11652512828061469</v>
      </c>
      <c r="I15" s="12"/>
      <c r="J15" s="12"/>
      <c r="K15" s="12"/>
    </row>
    <row r="16" spans="1:11" ht="18.75" thickBot="1">
      <c r="A16" s="165" t="s">
        <v>0</v>
      </c>
      <c r="B16" s="229" t="s">
        <v>0</v>
      </c>
      <c r="C16" s="277">
        <f>+'Dividends '!K27</f>
        <v>7.9997507603683946E-2</v>
      </c>
      <c r="D16" s="277">
        <f>+Earnings!K27</f>
        <v>8.2015864779806977E-2</v>
      </c>
      <c r="I16" s="12"/>
      <c r="J16" s="12"/>
      <c r="K16" s="12"/>
    </row>
    <row r="17" spans="1:11" ht="18">
      <c r="A17" s="238"/>
      <c r="B17" s="239"/>
      <c r="I17" s="12"/>
      <c r="J17" s="12"/>
      <c r="K17" s="12"/>
    </row>
    <row r="18" spans="1:11">
      <c r="A18" s="12"/>
      <c r="B18" s="12"/>
      <c r="C18" s="12"/>
      <c r="D18" s="12"/>
      <c r="E18" s="12"/>
      <c r="F18" s="12"/>
      <c r="G18" s="12"/>
      <c r="H18" s="12"/>
      <c r="I18" s="12"/>
      <c r="J18" s="12"/>
      <c r="K18" s="12"/>
    </row>
    <row r="19" spans="1:11" ht="15.75" thickBot="1">
      <c r="A19" s="12"/>
      <c r="B19" s="12"/>
      <c r="C19" s="12"/>
      <c r="D19" s="12"/>
      <c r="E19" s="12"/>
      <c r="F19" s="12"/>
      <c r="G19" s="12"/>
      <c r="H19" s="12"/>
      <c r="I19" s="12"/>
      <c r="J19" s="12"/>
      <c r="K19" s="12"/>
    </row>
    <row r="20" spans="1:11" ht="18.75" thickBot="1">
      <c r="A20" s="175" t="s">
        <v>290</v>
      </c>
      <c r="B20" s="31"/>
      <c r="I20" s="12"/>
      <c r="J20" s="12"/>
      <c r="K20" s="12"/>
    </row>
    <row r="21" spans="1:11" ht="16.5" thickBot="1">
      <c r="A21" s="174" t="s">
        <v>0</v>
      </c>
      <c r="B21" s="12"/>
      <c r="C21" s="12"/>
      <c r="D21" s="12"/>
      <c r="E21" s="12"/>
      <c r="F21" s="12"/>
      <c r="G21" s="12"/>
      <c r="H21" s="12"/>
      <c r="I21" s="12"/>
      <c r="J21" s="12"/>
      <c r="K21" s="12"/>
    </row>
    <row r="22" spans="1:11" ht="64.5" customHeight="1" thickBot="1">
      <c r="A22" s="240" t="s">
        <v>292</v>
      </c>
      <c r="B22" s="168" t="s">
        <v>335</v>
      </c>
      <c r="C22" s="167" t="s">
        <v>247</v>
      </c>
      <c r="D22" s="168" t="s">
        <v>248</v>
      </c>
      <c r="E22" s="168" t="s">
        <v>249</v>
      </c>
      <c r="F22" s="168" t="s">
        <v>336</v>
      </c>
      <c r="G22" s="278" t="s">
        <v>18</v>
      </c>
      <c r="H22" s="278" t="s">
        <v>19</v>
      </c>
      <c r="I22" s="12"/>
      <c r="J22" s="12"/>
      <c r="K22" s="12"/>
    </row>
    <row r="23" spans="1:11">
      <c r="A23" s="163"/>
      <c r="B23" s="228"/>
      <c r="C23" s="118"/>
      <c r="D23" s="228"/>
      <c r="E23" s="118"/>
      <c r="F23" s="228"/>
      <c r="G23" s="323"/>
      <c r="H23" s="177"/>
      <c r="I23" s="12"/>
      <c r="J23" s="12"/>
      <c r="K23" s="12"/>
    </row>
    <row r="24" spans="1:11" ht="18">
      <c r="A24" s="172" t="str">
        <f>+A7</f>
        <v>Electric Wholesale (non-regulated) Power Generator</v>
      </c>
      <c r="B24" s="424">
        <v>0</v>
      </c>
      <c r="C24" s="425">
        <v>0</v>
      </c>
      <c r="D24" s="424">
        <v>0</v>
      </c>
      <c r="E24" s="425">
        <v>0</v>
      </c>
      <c r="F24" s="424">
        <v>0</v>
      </c>
      <c r="G24" s="426">
        <f>MEDIAN(B24:F24)</f>
        <v>0</v>
      </c>
      <c r="H24" s="427">
        <f t="shared" ref="H24" si="0">AVERAGE(B24:F24)</f>
        <v>0</v>
      </c>
      <c r="I24" s="12"/>
      <c r="J24" s="12"/>
      <c r="K24" s="12"/>
    </row>
    <row r="25" spans="1:11" ht="18.75" thickBot="1">
      <c r="A25" s="165" t="s">
        <v>0</v>
      </c>
      <c r="B25" s="229" t="s">
        <v>0</v>
      </c>
      <c r="C25" s="173" t="s">
        <v>0</v>
      </c>
      <c r="D25" s="229" t="s">
        <v>0</v>
      </c>
      <c r="E25" s="173" t="s">
        <v>0</v>
      </c>
      <c r="F25" s="229" t="s">
        <v>0</v>
      </c>
      <c r="G25" s="324"/>
      <c r="H25" s="176"/>
      <c r="I25" s="12"/>
      <c r="J25" s="12"/>
      <c r="K25" s="12"/>
    </row>
    <row r="26" spans="1:11">
      <c r="A26" s="12"/>
      <c r="B26" s="12"/>
      <c r="C26" s="12"/>
      <c r="D26" s="12"/>
      <c r="E26" s="12"/>
      <c r="F26" s="12"/>
      <c r="G26" s="12"/>
      <c r="H26" s="12"/>
      <c r="I26" s="12"/>
      <c r="J26" s="12"/>
      <c r="K26" s="12"/>
    </row>
    <row r="27" spans="1:11">
      <c r="A27" s="12"/>
      <c r="B27" s="12"/>
      <c r="C27" s="12"/>
      <c r="D27" s="12"/>
      <c r="E27" s="12"/>
      <c r="F27" s="12"/>
      <c r="G27" s="12"/>
      <c r="H27" s="12"/>
      <c r="I27" s="12"/>
      <c r="J27" s="12"/>
      <c r="K27" s="12"/>
    </row>
    <row r="28" spans="1:11">
      <c r="A28" s="12"/>
      <c r="B28" s="12" t="s">
        <v>0</v>
      </c>
      <c r="C28" s="12"/>
      <c r="D28" s="12"/>
      <c r="E28" s="12"/>
      <c r="F28" s="12"/>
      <c r="G28" s="12"/>
      <c r="H28" s="12"/>
      <c r="I28" s="12"/>
      <c r="J28" s="12"/>
      <c r="K28" s="12"/>
    </row>
    <row r="29" spans="1:11" ht="15.75" thickBot="1">
      <c r="A29" s="12"/>
      <c r="B29" s="12"/>
      <c r="C29" s="12"/>
      <c r="D29" s="12"/>
      <c r="E29" s="12"/>
      <c r="F29" s="12"/>
      <c r="G29" s="12"/>
      <c r="H29" s="12"/>
      <c r="I29" s="12"/>
      <c r="J29" s="12"/>
      <c r="K29" s="12"/>
    </row>
    <row r="30" spans="1:11" ht="18.75" thickBot="1">
      <c r="A30" s="175" t="s">
        <v>268</v>
      </c>
      <c r="B30" s="12"/>
      <c r="C30" s="12"/>
      <c r="D30" s="12"/>
      <c r="E30" s="12"/>
      <c r="F30" s="12"/>
      <c r="G30" s="12"/>
      <c r="H30" s="12"/>
      <c r="I30" s="12"/>
      <c r="J30" s="12"/>
      <c r="K30" s="12"/>
    </row>
    <row r="31" spans="1:11">
      <c r="A31" s="12"/>
      <c r="B31" s="12"/>
      <c r="C31" s="12"/>
      <c r="D31" s="12"/>
      <c r="E31" s="12"/>
      <c r="F31" s="12"/>
      <c r="G31" s="12"/>
      <c r="H31" s="12"/>
      <c r="I31" s="12"/>
      <c r="J31" s="12"/>
      <c r="K31" s="12"/>
    </row>
    <row r="32" spans="1:11">
      <c r="A32" s="12"/>
      <c r="B32" s="12"/>
      <c r="C32" s="12"/>
      <c r="D32" s="12"/>
      <c r="E32" s="12"/>
      <c r="F32" s="12"/>
      <c r="G32" s="12"/>
      <c r="H32" s="12"/>
      <c r="I32" s="12"/>
      <c r="J32" s="12"/>
      <c r="K32" s="12"/>
    </row>
    <row r="33" spans="1:11" ht="23.25">
      <c r="A33" s="328">
        <v>1.66E-2</v>
      </c>
      <c r="B33" s="31" t="s">
        <v>501</v>
      </c>
      <c r="C33" s="12"/>
      <c r="E33" s="214" t="s">
        <v>0</v>
      </c>
      <c r="F33" s="12"/>
      <c r="G33" s="12"/>
      <c r="H33" s="12"/>
      <c r="I33" s="12"/>
      <c r="J33" s="12"/>
      <c r="K33" s="12"/>
    </row>
    <row r="34" spans="1:11" ht="23.25">
      <c r="A34" s="231"/>
      <c r="B34" s="12" t="s">
        <v>316</v>
      </c>
      <c r="C34" s="12"/>
      <c r="D34" s="12"/>
      <c r="E34" s="12"/>
      <c r="F34" s="12"/>
      <c r="G34" s="12"/>
      <c r="H34" s="12"/>
      <c r="I34" s="12"/>
      <c r="J34" s="12"/>
      <c r="K34" s="12"/>
    </row>
    <row r="35" spans="1:11" ht="23.25">
      <c r="A35" s="231"/>
      <c r="B35" s="158" t="s">
        <v>315</v>
      </c>
      <c r="C35" s="12"/>
      <c r="D35" s="12"/>
      <c r="E35" s="12"/>
      <c r="F35" s="12"/>
      <c r="G35" s="12"/>
      <c r="H35" s="12"/>
      <c r="I35" s="12"/>
      <c r="J35" s="12"/>
      <c r="K35" s="12"/>
    </row>
    <row r="36" spans="1:11" ht="23.25">
      <c r="A36" s="328">
        <v>1.7999999999999999E-2</v>
      </c>
      <c r="B36" s="31" t="s">
        <v>269</v>
      </c>
      <c r="C36" s="12"/>
      <c r="D36" s="12"/>
      <c r="E36" s="12"/>
      <c r="F36" s="12"/>
      <c r="G36" s="12"/>
      <c r="H36" s="12"/>
      <c r="I36" s="12"/>
      <c r="J36" s="12"/>
      <c r="K36" s="12"/>
    </row>
    <row r="37" spans="1:11" ht="23.25">
      <c r="A37" s="230"/>
      <c r="B37" s="232" t="s">
        <v>502</v>
      </c>
      <c r="C37" s="12"/>
      <c r="D37" s="12"/>
      <c r="E37" s="12"/>
      <c r="F37" s="12"/>
      <c r="G37" s="12"/>
      <c r="H37" s="12"/>
      <c r="I37" s="12"/>
      <c r="J37" s="12"/>
      <c r="K37" s="12"/>
    </row>
    <row r="38" spans="1:11" ht="23.25">
      <c r="A38" s="230"/>
      <c r="B38" s="158" t="s">
        <v>503</v>
      </c>
      <c r="C38" s="12"/>
      <c r="D38" s="12"/>
      <c r="E38" s="12"/>
      <c r="F38" s="12"/>
      <c r="G38" s="12"/>
      <c r="H38" s="12"/>
      <c r="I38" s="12"/>
      <c r="J38" s="12"/>
      <c r="K38" s="12"/>
    </row>
    <row r="39" spans="1:11" ht="23.25">
      <c r="A39" s="328" t="s">
        <v>418</v>
      </c>
      <c r="B39" s="31" t="s">
        <v>270</v>
      </c>
      <c r="C39" s="12"/>
      <c r="D39" s="12"/>
      <c r="E39" s="12"/>
      <c r="F39" s="12"/>
      <c r="G39" s="12"/>
      <c r="H39" s="12"/>
      <c r="I39" s="12"/>
      <c r="J39" s="12"/>
      <c r="K39" s="12"/>
    </row>
    <row r="40" spans="1:11" ht="23.25">
      <c r="A40" s="230"/>
      <c r="B40" s="12" t="s">
        <v>504</v>
      </c>
      <c r="C40" s="12"/>
      <c r="D40" s="12"/>
      <c r="E40" s="12"/>
      <c r="F40" s="12"/>
      <c r="G40" s="12"/>
      <c r="H40" s="12"/>
      <c r="I40" s="12"/>
      <c r="J40" s="12"/>
      <c r="K40" s="12"/>
    </row>
    <row r="41" spans="1:11" ht="23.25">
      <c r="A41" s="230"/>
      <c r="B41" s="158" t="s">
        <v>334</v>
      </c>
      <c r="C41" s="12"/>
      <c r="D41" s="12"/>
      <c r="E41" s="12"/>
      <c r="F41" s="12"/>
      <c r="G41" s="12"/>
      <c r="H41" s="12"/>
      <c r="I41" s="12"/>
      <c r="J41" s="12"/>
      <c r="K41" s="12"/>
    </row>
    <row r="42" spans="1:11" ht="23.25">
      <c r="A42" s="434">
        <v>1.9E-2</v>
      </c>
      <c r="B42" s="31" t="s">
        <v>505</v>
      </c>
      <c r="C42" s="12"/>
      <c r="D42" s="12"/>
      <c r="E42" s="12"/>
      <c r="F42" s="12"/>
      <c r="G42" s="12"/>
      <c r="H42" s="12"/>
      <c r="I42" s="12"/>
      <c r="J42" s="12"/>
      <c r="K42" s="12"/>
    </row>
    <row r="43" spans="1:11" ht="23.25">
      <c r="A43" s="230"/>
      <c r="B43" s="12" t="s">
        <v>506</v>
      </c>
      <c r="C43" s="12"/>
      <c r="D43" s="12"/>
      <c r="E43" s="12"/>
      <c r="F43" s="12"/>
      <c r="G43" s="12"/>
      <c r="H43" s="12"/>
      <c r="I43" s="12"/>
      <c r="J43" s="12"/>
      <c r="K43" s="12"/>
    </row>
    <row r="44" spans="1:11" ht="23.25">
      <c r="A44" s="230"/>
      <c r="B44" s="158" t="s">
        <v>333</v>
      </c>
      <c r="C44" s="12"/>
      <c r="D44" s="12"/>
      <c r="E44" s="12"/>
      <c r="F44" s="12"/>
      <c r="G44" s="12"/>
      <c r="H44" s="12"/>
      <c r="I44" s="12"/>
      <c r="J44" s="12"/>
      <c r="K44" s="12"/>
    </row>
    <row r="45" spans="1:11" ht="23.25">
      <c r="A45" s="328">
        <v>1.4999999999999999E-2</v>
      </c>
      <c r="B45" s="31" t="s">
        <v>271</v>
      </c>
      <c r="C45" s="12"/>
      <c r="D45" s="12"/>
      <c r="E45" s="12"/>
      <c r="F45" s="12"/>
      <c r="G45" s="12"/>
      <c r="H45" s="12"/>
      <c r="I45" s="12"/>
      <c r="J45" s="12"/>
      <c r="K45" s="12"/>
    </row>
    <row r="46" spans="1:11" ht="23.25">
      <c r="A46" s="230"/>
      <c r="B46" s="12" t="s">
        <v>507</v>
      </c>
      <c r="C46" s="12"/>
      <c r="D46" s="12"/>
      <c r="E46" s="12"/>
      <c r="F46" s="12"/>
      <c r="G46" s="12"/>
      <c r="H46" s="12"/>
      <c r="I46" s="12"/>
      <c r="J46" s="12"/>
      <c r="K46" s="12"/>
    </row>
    <row r="47" spans="1:11" ht="23.25">
      <c r="A47" s="230"/>
      <c r="B47" s="158" t="s">
        <v>508</v>
      </c>
      <c r="C47" s="12"/>
      <c r="D47" s="12"/>
      <c r="E47" s="12"/>
      <c r="F47" s="12"/>
      <c r="G47" s="12"/>
      <c r="H47" s="12"/>
      <c r="I47" s="12"/>
      <c r="J47" s="12"/>
      <c r="K47" s="12"/>
    </row>
    <row r="48" spans="1:11" ht="23.25">
      <c r="A48" s="230" t="s">
        <v>0</v>
      </c>
      <c r="C48" s="12"/>
      <c r="D48" s="12"/>
      <c r="E48" s="12"/>
      <c r="F48" s="12"/>
      <c r="G48" s="12"/>
      <c r="H48" s="12"/>
      <c r="I48" s="12"/>
      <c r="J48" s="12"/>
      <c r="K48" s="12"/>
    </row>
    <row r="49" spans="1:11" ht="18">
      <c r="A49" s="325" t="s">
        <v>285</v>
      </c>
      <c r="C49" s="12"/>
      <c r="D49" s="12"/>
      <c r="E49" s="12"/>
      <c r="F49" s="12"/>
      <c r="G49" s="12"/>
      <c r="H49" s="12"/>
      <c r="I49" s="12"/>
      <c r="J49" s="12"/>
      <c r="K49" s="12"/>
    </row>
    <row r="50" spans="1:11" ht="18">
      <c r="A50" s="31" t="s">
        <v>286</v>
      </c>
      <c r="B50" s="12"/>
      <c r="C50" s="12"/>
      <c r="D50" s="12"/>
      <c r="E50" s="12"/>
      <c r="H50" s="12"/>
      <c r="I50" s="12"/>
      <c r="J50" s="12"/>
      <c r="K50" s="12"/>
    </row>
    <row r="51" spans="1:11">
      <c r="A51" s="158" t="s">
        <v>287</v>
      </c>
      <c r="B51" s="12"/>
      <c r="C51" s="12"/>
      <c r="D51" s="12"/>
      <c r="E51" s="12"/>
      <c r="F51" s="12"/>
      <c r="G51" s="12"/>
      <c r="H51" s="12"/>
      <c r="I51" s="12"/>
      <c r="J51" s="12"/>
      <c r="K51" s="12"/>
    </row>
    <row r="52" spans="1:11">
      <c r="A52" s="158"/>
      <c r="B52" s="12"/>
      <c r="C52" s="12"/>
      <c r="D52" s="12"/>
      <c r="E52" s="12"/>
      <c r="F52" s="12"/>
      <c r="G52" s="12" t="s">
        <v>0</v>
      </c>
      <c r="H52" s="12" t="s">
        <v>0</v>
      </c>
      <c r="I52" s="12"/>
      <c r="J52" s="12"/>
      <c r="K52" s="12"/>
    </row>
    <row r="53" spans="1:11">
      <c r="A53" s="12"/>
      <c r="B53" s="12"/>
      <c r="C53" s="12"/>
      <c r="D53" s="12"/>
      <c r="E53" s="12"/>
      <c r="F53" s="12"/>
      <c r="G53" s="12" t="s">
        <v>0</v>
      </c>
      <c r="H53" s="12"/>
      <c r="I53" s="12"/>
      <c r="J53" s="12"/>
      <c r="K53" s="12"/>
    </row>
    <row r="54" spans="1:11" ht="15.75" thickBot="1">
      <c r="A54" s="12"/>
      <c r="B54" s="12"/>
      <c r="C54" s="12"/>
      <c r="D54" s="12"/>
      <c r="E54" s="12"/>
      <c r="F54" s="12"/>
      <c r="G54" s="12" t="s">
        <v>0</v>
      </c>
      <c r="H54" s="12"/>
      <c r="I54" s="12"/>
      <c r="J54" s="12"/>
      <c r="K54" s="12"/>
    </row>
    <row r="55" spans="1:11" ht="18.75" customHeight="1" thickBot="1">
      <c r="A55" s="175" t="s">
        <v>267</v>
      </c>
      <c r="B55" s="44" t="s">
        <v>403</v>
      </c>
      <c r="C55" s="12"/>
      <c r="D55" s="12"/>
      <c r="E55" s="12"/>
      <c r="F55" s="12"/>
      <c r="G55" s="12"/>
      <c r="H55" s="12"/>
      <c r="I55" s="12"/>
      <c r="J55" s="12"/>
      <c r="K55" s="12"/>
    </row>
    <row r="56" spans="1:11" ht="15" customHeight="1">
      <c r="A56" s="12"/>
      <c r="B56" s="12"/>
      <c r="C56" s="12"/>
      <c r="D56" s="12"/>
      <c r="E56" s="12"/>
      <c r="F56" s="12"/>
      <c r="G56" s="326" t="s">
        <v>404</v>
      </c>
      <c r="H56" s="327" t="s">
        <v>405</v>
      </c>
      <c r="I56" s="12"/>
      <c r="J56" s="12"/>
      <c r="K56" s="12"/>
    </row>
    <row r="57" spans="1:11" ht="23.25" customHeight="1">
      <c r="A57" s="328">
        <v>2.3E-2</v>
      </c>
      <c r="B57" s="31" t="s">
        <v>406</v>
      </c>
      <c r="C57" s="12"/>
      <c r="E57" s="12"/>
      <c r="G57" s="329" t="s">
        <v>407</v>
      </c>
      <c r="H57" s="330" t="s">
        <v>408</v>
      </c>
      <c r="I57" s="12"/>
      <c r="J57" s="12"/>
      <c r="K57" s="12"/>
    </row>
    <row r="58" spans="1:11" ht="23.25" customHeight="1">
      <c r="A58" s="328">
        <v>2.53E-2</v>
      </c>
      <c r="B58" s="31" t="s">
        <v>409</v>
      </c>
      <c r="C58" s="12"/>
      <c r="E58" s="12"/>
      <c r="G58" s="329" t="s">
        <v>410</v>
      </c>
      <c r="H58" s="330" t="s">
        <v>411</v>
      </c>
      <c r="I58" s="12"/>
      <c r="J58" s="12"/>
      <c r="K58" s="12"/>
    </row>
    <row r="59" spans="1:11" ht="23.25" customHeight="1">
      <c r="A59" s="328">
        <v>2.3099999999999999E-2</v>
      </c>
      <c r="B59" s="31" t="s">
        <v>412</v>
      </c>
      <c r="C59" s="12"/>
      <c r="D59" s="12"/>
      <c r="E59" s="12"/>
      <c r="G59" s="331" t="s">
        <v>413</v>
      </c>
      <c r="H59" s="332" t="s">
        <v>414</v>
      </c>
      <c r="I59" s="12"/>
      <c r="J59" s="12"/>
      <c r="K59" s="12"/>
    </row>
    <row r="60" spans="1:11" ht="23.25" customHeight="1">
      <c r="A60" s="328"/>
      <c r="B60" s="31"/>
      <c r="C60" s="12"/>
      <c r="D60" s="12"/>
      <c r="E60" s="12"/>
      <c r="G60" s="14"/>
      <c r="H60" s="159"/>
      <c r="I60" s="12"/>
      <c r="J60" s="12"/>
      <c r="K60" s="12"/>
    </row>
    <row r="61" spans="1:11" ht="23.25" customHeight="1">
      <c r="A61" s="333" t="s">
        <v>509</v>
      </c>
      <c r="B61" s="31"/>
      <c r="C61" s="12"/>
      <c r="D61" s="12"/>
      <c r="E61" s="12"/>
      <c r="F61" s="322"/>
      <c r="G61" s="87"/>
      <c r="H61" s="12"/>
      <c r="I61" s="12"/>
      <c r="J61" s="12"/>
      <c r="K61" s="12"/>
    </row>
    <row r="62" spans="1:11" ht="23.25" customHeight="1">
      <c r="A62" s="328"/>
      <c r="B62" s="31"/>
      <c r="C62" s="12"/>
      <c r="D62" s="12"/>
      <c r="E62" s="12"/>
      <c r="F62" s="322"/>
      <c r="G62" s="87"/>
      <c r="H62" s="12"/>
      <c r="I62" s="12"/>
      <c r="J62" s="12"/>
      <c r="K62" s="12"/>
    </row>
    <row r="63" spans="1:11" ht="23.25" customHeight="1">
      <c r="A63" s="328">
        <v>2.5499999999999998E-2</v>
      </c>
      <c r="B63" s="31" t="s">
        <v>277</v>
      </c>
      <c r="C63" s="12"/>
      <c r="D63" s="12"/>
      <c r="E63" s="12"/>
      <c r="F63" s="12"/>
      <c r="G63" s="12"/>
      <c r="H63" s="12"/>
      <c r="I63" s="12"/>
      <c r="J63" s="12"/>
      <c r="K63" s="12"/>
    </row>
    <row r="64" spans="1:11" ht="23.25" customHeight="1">
      <c r="A64" s="328">
        <v>2.5000000000000001E-2</v>
      </c>
      <c r="B64" s="31" t="s">
        <v>278</v>
      </c>
      <c r="C64" s="12"/>
      <c r="D64" s="12"/>
      <c r="E64" s="12"/>
      <c r="F64" s="12"/>
      <c r="G64" s="12"/>
      <c r="H64" s="12"/>
      <c r="I64" s="12"/>
      <c r="J64" s="12"/>
      <c r="K64" s="12"/>
    </row>
    <row r="65" spans="1:11" ht="23.25" customHeight="1">
      <c r="A65" s="328">
        <v>2.4400000000000002E-2</v>
      </c>
      <c r="B65" s="31" t="s">
        <v>279</v>
      </c>
      <c r="C65" s="12"/>
      <c r="D65" s="12"/>
      <c r="E65" s="12"/>
      <c r="F65" s="12"/>
      <c r="G65" s="12"/>
      <c r="H65" s="12"/>
      <c r="I65" s="12"/>
      <c r="J65" s="12"/>
      <c r="K65" s="12"/>
    </row>
    <row r="66" spans="1:11" ht="23.25">
      <c r="A66" s="328">
        <v>2.3E-2</v>
      </c>
      <c r="B66" s="31" t="s">
        <v>510</v>
      </c>
      <c r="C66" s="12"/>
      <c r="D66" s="12"/>
      <c r="E66" s="12"/>
      <c r="F66" s="12"/>
      <c r="G66" s="12"/>
      <c r="H66" s="12"/>
      <c r="I66" s="12"/>
      <c r="J66" s="12"/>
      <c r="K66" s="12"/>
    </row>
    <row r="67" spans="1:11" ht="23.25">
      <c r="A67" s="328">
        <v>0.02</v>
      </c>
      <c r="B67" s="31" t="s">
        <v>274</v>
      </c>
      <c r="C67" s="12"/>
      <c r="D67" s="12"/>
      <c r="E67" s="12"/>
      <c r="F67" s="12"/>
      <c r="G67" s="12"/>
      <c r="H67" s="12"/>
      <c r="I67" s="12"/>
      <c r="J67" s="12"/>
      <c r="K67" s="12"/>
    </row>
    <row r="68" spans="1:11" ht="27" customHeight="1">
      <c r="B68" s="12" t="s">
        <v>0</v>
      </c>
      <c r="C68" s="12"/>
      <c r="D68" s="12"/>
      <c r="E68" s="12"/>
      <c r="F68" s="12"/>
      <c r="G68" s="12"/>
      <c r="H68" s="12"/>
      <c r="I68" s="12"/>
      <c r="J68" s="12"/>
      <c r="K68" s="12"/>
    </row>
    <row r="69" spans="1:11" ht="20.25" customHeight="1">
      <c r="A69" s="12"/>
      <c r="B69" s="12"/>
      <c r="C69" s="12"/>
      <c r="D69" s="12"/>
      <c r="E69" s="12"/>
      <c r="F69" s="12"/>
      <c r="G69" s="12"/>
      <c r="H69" s="12"/>
      <c r="I69" s="12"/>
      <c r="J69" s="12"/>
      <c r="K69" s="12"/>
    </row>
    <row r="70" spans="1:11" ht="18.75" customHeight="1" thickBot="1">
      <c r="B70" s="12"/>
      <c r="C70" s="12"/>
      <c r="D70" s="29"/>
      <c r="E70" s="29"/>
      <c r="F70" s="29"/>
      <c r="G70" s="12"/>
      <c r="H70" s="12"/>
      <c r="I70" s="12"/>
      <c r="J70" s="12"/>
      <c r="K70" s="12"/>
    </row>
    <row r="71" spans="1:11" ht="18.75" customHeight="1">
      <c r="B71" s="31"/>
      <c r="C71" s="31"/>
      <c r="D71" s="12"/>
      <c r="E71" s="32" t="s">
        <v>230</v>
      </c>
      <c r="F71" s="12"/>
      <c r="G71" s="12"/>
      <c r="H71" s="12"/>
      <c r="I71" s="12"/>
      <c r="J71" s="12"/>
      <c r="K71" s="12"/>
    </row>
    <row r="72" spans="1:11" ht="15" customHeight="1" thickBot="1">
      <c r="A72" s="161"/>
      <c r="B72" s="31"/>
      <c r="C72" s="31"/>
      <c r="D72" s="29"/>
      <c r="E72" s="37" t="s">
        <v>90</v>
      </c>
      <c r="F72" s="29"/>
      <c r="G72" s="12"/>
      <c r="H72" s="12"/>
      <c r="I72" s="12"/>
      <c r="J72" s="12"/>
      <c r="K72" s="12"/>
    </row>
    <row r="73" spans="1:11" ht="21" customHeight="1" thickBot="1">
      <c r="A73" s="160" t="s">
        <v>231</v>
      </c>
      <c r="B73" s="31"/>
      <c r="C73" s="31"/>
      <c r="D73" s="35"/>
      <c r="E73" s="157"/>
      <c r="F73" s="12"/>
      <c r="G73" s="12"/>
      <c r="H73" s="12"/>
      <c r="I73" s="12"/>
      <c r="J73" s="12"/>
      <c r="K73" s="12"/>
    </row>
    <row r="74" spans="1:11" ht="15" customHeight="1">
      <c r="A74" s="39" t="s">
        <v>0</v>
      </c>
      <c r="B74" s="39"/>
      <c r="C74" s="39"/>
      <c r="D74" s="41" t="s">
        <v>0</v>
      </c>
      <c r="E74" s="41" t="s">
        <v>0</v>
      </c>
      <c r="F74" s="41" t="s">
        <v>0</v>
      </c>
      <c r="G74" s="41"/>
      <c r="H74" s="12"/>
      <c r="I74" s="12"/>
    </row>
    <row r="75" spans="1:11">
      <c r="A75" s="35" t="s">
        <v>0</v>
      </c>
      <c r="B75" s="35"/>
      <c r="C75" s="35"/>
      <c r="D75" s="194" t="s">
        <v>94</v>
      </c>
      <c r="E75" s="194" t="s">
        <v>273</v>
      </c>
      <c r="F75" s="194" t="s">
        <v>143</v>
      </c>
      <c r="G75" s="274"/>
      <c r="H75" s="12"/>
      <c r="I75" s="12"/>
    </row>
    <row r="76" spans="1:11">
      <c r="A76" s="133" t="s">
        <v>141</v>
      </c>
      <c r="B76" s="133"/>
      <c r="C76" s="133"/>
      <c r="D76" s="195" t="s">
        <v>96</v>
      </c>
      <c r="E76" s="195" t="s">
        <v>142</v>
      </c>
      <c r="F76" s="195" t="s">
        <v>144</v>
      </c>
      <c r="G76" s="274"/>
      <c r="H76" s="12"/>
      <c r="I76" s="12"/>
    </row>
    <row r="77" spans="1:11" ht="15.75" customHeight="1"/>
    <row r="78" spans="1:11" ht="15.75" customHeight="1"/>
    <row r="79" spans="1:11" ht="15.75" customHeight="1">
      <c r="A79" s="178" t="s">
        <v>280</v>
      </c>
      <c r="B79" s="179"/>
      <c r="C79" s="223"/>
      <c r="D79" s="187">
        <f>+A57</f>
        <v>2.3E-2</v>
      </c>
      <c r="E79" s="187">
        <v>1.5800000000000002E-2</v>
      </c>
      <c r="F79" s="180">
        <f t="shared" ref="F79:F86" si="1">+D79+E79</f>
        <v>3.8800000000000001E-2</v>
      </c>
      <c r="G79" s="275"/>
      <c r="H79" s="12"/>
      <c r="I79" s="12"/>
    </row>
    <row r="80" spans="1:11" ht="15.75" customHeight="1">
      <c r="A80" s="181" t="s">
        <v>281</v>
      </c>
      <c r="B80" s="64"/>
      <c r="C80" s="224"/>
      <c r="D80" s="334">
        <f>+A58</f>
        <v>2.53E-2</v>
      </c>
      <c r="E80" s="334">
        <v>1.61E-2</v>
      </c>
      <c r="F80" s="182">
        <f t="shared" si="1"/>
        <v>4.1399999999999999E-2</v>
      </c>
      <c r="G80" s="275"/>
      <c r="H80" s="12"/>
      <c r="I80" s="12"/>
    </row>
    <row r="81" spans="1:9" ht="15.75" customHeight="1">
      <c r="A81" s="183" t="s">
        <v>282</v>
      </c>
      <c r="B81" s="184"/>
      <c r="C81" s="225"/>
      <c r="D81" s="188">
        <f>+A59</f>
        <v>2.3099999999999999E-2</v>
      </c>
      <c r="E81" s="188">
        <v>1.66E-2</v>
      </c>
      <c r="F81" s="185">
        <f t="shared" si="1"/>
        <v>3.9699999999999999E-2</v>
      </c>
      <c r="G81" s="275"/>
      <c r="H81" s="12"/>
      <c r="I81" s="12"/>
    </row>
    <row r="82" spans="1:9" ht="15.75" customHeight="1">
      <c r="A82" s="181" t="s">
        <v>283</v>
      </c>
      <c r="B82" s="64"/>
      <c r="C82" s="224"/>
      <c r="D82" s="334">
        <f t="shared" ref="D82:D84" si="2">+A63</f>
        <v>2.5499999999999998E-2</v>
      </c>
      <c r="E82" s="334">
        <v>1.9699999999999999E-2</v>
      </c>
      <c r="F82" s="182">
        <f t="shared" si="1"/>
        <v>4.5199999999999997E-2</v>
      </c>
      <c r="G82" s="275"/>
      <c r="H82" s="12"/>
      <c r="I82" s="12"/>
    </row>
    <row r="83" spans="1:9" ht="15.75" customHeight="1">
      <c r="A83" s="181" t="s">
        <v>284</v>
      </c>
      <c r="B83" s="64"/>
      <c r="C83" s="224"/>
      <c r="D83" s="334">
        <f t="shared" si="2"/>
        <v>2.5000000000000001E-2</v>
      </c>
      <c r="E83" s="334">
        <v>1.9300000000000001E-2</v>
      </c>
      <c r="F83" s="182">
        <f t="shared" si="1"/>
        <v>4.4300000000000006E-2</v>
      </c>
      <c r="G83" s="275"/>
      <c r="H83" s="12"/>
      <c r="I83" s="12"/>
    </row>
    <row r="84" spans="1:9" ht="15.75" customHeight="1">
      <c r="A84" s="181" t="s">
        <v>511</v>
      </c>
      <c r="B84" s="64"/>
      <c r="C84" s="224"/>
      <c r="D84" s="334">
        <f t="shared" si="2"/>
        <v>2.4400000000000002E-2</v>
      </c>
      <c r="E84" s="334">
        <v>1.9599999999999999E-2</v>
      </c>
      <c r="F84" s="182">
        <f t="shared" si="1"/>
        <v>4.3999999999999997E-2</v>
      </c>
      <c r="G84" s="275"/>
      <c r="H84" s="12"/>
      <c r="I84" s="12"/>
    </row>
    <row r="85" spans="1:9" ht="15.75" customHeight="1">
      <c r="A85" s="181" t="s">
        <v>512</v>
      </c>
      <c r="B85" s="64"/>
      <c r="C85" s="224"/>
      <c r="D85" s="334">
        <f>+A66</f>
        <v>2.3E-2</v>
      </c>
      <c r="E85" s="334">
        <v>1.7999999999999999E-2</v>
      </c>
      <c r="F85" s="182">
        <f t="shared" si="1"/>
        <v>4.0999999999999995E-2</v>
      </c>
      <c r="G85" s="275"/>
      <c r="H85" s="12"/>
      <c r="I85" s="12"/>
    </row>
    <row r="86" spans="1:9" ht="15.75" customHeight="1">
      <c r="A86" s="183" t="s">
        <v>275</v>
      </c>
      <c r="B86" s="184"/>
      <c r="C86" s="225"/>
      <c r="D86" s="188">
        <f>+A67</f>
        <v>0.02</v>
      </c>
      <c r="E86" s="188">
        <v>1.7000000000000001E-2</v>
      </c>
      <c r="F86" s="185">
        <f t="shared" si="1"/>
        <v>3.7000000000000005E-2</v>
      </c>
      <c r="G86" s="275"/>
      <c r="H86" s="12"/>
      <c r="I86" s="12"/>
    </row>
    <row r="87" spans="1:9" ht="15.75" customHeight="1">
      <c r="A87" s="112"/>
      <c r="B87" s="127"/>
      <c r="C87" s="127" t="s">
        <v>53</v>
      </c>
      <c r="D87" s="186">
        <v>2.5499999999999998E-2</v>
      </c>
      <c r="E87" s="186">
        <v>1.9699999999999999E-2</v>
      </c>
      <c r="F87" s="186">
        <v>4.5199999999999997E-2</v>
      </c>
      <c r="G87" s="276"/>
      <c r="H87" s="12"/>
      <c r="I87" s="12"/>
    </row>
    <row r="88" spans="1:9" ht="15.75" customHeight="1">
      <c r="A88" s="112"/>
      <c r="B88" s="127"/>
      <c r="C88" s="127" t="s">
        <v>54</v>
      </c>
      <c r="D88" s="186">
        <v>0.02</v>
      </c>
      <c r="E88" s="186">
        <v>1.5800000000000002E-2</v>
      </c>
      <c r="F88" s="237">
        <v>3.6999999999999998E-2</v>
      </c>
      <c r="G88" s="276"/>
      <c r="H88" s="12"/>
      <c r="I88" s="12"/>
    </row>
    <row r="89" spans="1:9" ht="17.25" customHeight="1">
      <c r="A89" s="112"/>
      <c r="B89" s="127"/>
      <c r="C89" s="127" t="s">
        <v>18</v>
      </c>
      <c r="D89" s="435">
        <f>MEDIAN(D79:D86)</f>
        <v>2.375E-2</v>
      </c>
      <c r="E89" s="435">
        <f>MEDIAN(E79:E86)</f>
        <v>1.7500000000000002E-2</v>
      </c>
      <c r="F89" s="182">
        <f t="shared" ref="F89:F90" si="3">+D89+E89</f>
        <v>4.1250000000000002E-2</v>
      </c>
      <c r="G89" s="275"/>
      <c r="H89" s="12"/>
      <c r="I89" s="12"/>
    </row>
    <row r="90" spans="1:9" ht="21" customHeight="1">
      <c r="A90" s="112"/>
      <c r="B90" s="127"/>
      <c r="C90" s="127" t="s">
        <v>19</v>
      </c>
      <c r="D90" s="335">
        <f>AVERAGE(D79:D86)</f>
        <v>2.3662499999999996E-2</v>
      </c>
      <c r="E90" s="335">
        <f>AVERAGE(E79:E86)</f>
        <v>1.7762500000000001E-2</v>
      </c>
      <c r="F90" s="185">
        <f t="shared" si="3"/>
        <v>4.1424999999999997E-2</v>
      </c>
      <c r="G90" s="275"/>
      <c r="H90" s="12"/>
      <c r="I90" s="12"/>
    </row>
    <row r="91" spans="1:9" ht="21" customHeight="1">
      <c r="A91" s="12"/>
      <c r="B91" s="14"/>
    </row>
    <row r="92" spans="1:9" ht="21" customHeight="1" thickBot="1">
      <c r="A92" s="12"/>
      <c r="B92" s="14"/>
    </row>
    <row r="93" spans="1:9" ht="24" customHeight="1" thickBot="1">
      <c r="A93" s="12"/>
      <c r="B93" s="134"/>
      <c r="C93" s="50" t="s">
        <v>233</v>
      </c>
      <c r="D93" s="336">
        <v>2.366E-2</v>
      </c>
      <c r="E93" s="336">
        <v>1.7760000000000001E-2</v>
      </c>
      <c r="F93" s="339">
        <f>+D93+E93</f>
        <v>4.1419999999999998E-2</v>
      </c>
    </row>
    <row r="94" spans="1:9" ht="22.5" customHeight="1">
      <c r="A94" s="12"/>
      <c r="B94" s="12"/>
      <c r="C94" s="12"/>
      <c r="D94" s="12"/>
      <c r="E94" s="12"/>
      <c r="F94" s="12"/>
      <c r="G94" s="12"/>
      <c r="I94" s="12"/>
    </row>
    <row r="95" spans="1:9" ht="15" customHeight="1">
      <c r="A95" s="12"/>
      <c r="B95" s="12"/>
      <c r="C95" s="12"/>
      <c r="D95" s="12"/>
      <c r="E95" s="12"/>
      <c r="F95" s="12"/>
      <c r="G95" s="12"/>
      <c r="I95" s="12" t="s">
        <v>0</v>
      </c>
    </row>
    <row r="96" spans="1:9" ht="16.5" customHeight="1">
      <c r="A96" s="12"/>
      <c r="B96" s="12"/>
      <c r="C96" s="12"/>
      <c r="D96" s="12"/>
      <c r="E96" s="12"/>
      <c r="F96" s="12"/>
      <c r="G96" s="12"/>
      <c r="H96" s="12"/>
      <c r="I96" s="12"/>
    </row>
    <row r="97" spans="1:9" ht="15" customHeight="1">
      <c r="A97" s="135" t="s">
        <v>164</v>
      </c>
      <c r="B97" s="136"/>
      <c r="C97" s="136"/>
      <c r="D97" s="136"/>
      <c r="E97" s="137"/>
      <c r="F97" s="136"/>
      <c r="G97" s="136"/>
      <c r="H97" s="136"/>
      <c r="I97" s="12"/>
    </row>
    <row r="98" spans="1:9" ht="15" customHeight="1">
      <c r="A98" s="449" t="s">
        <v>401</v>
      </c>
      <c r="B98" s="449"/>
      <c r="C98" s="449"/>
      <c r="D98" s="449"/>
      <c r="E98" s="449"/>
      <c r="F98" s="449"/>
      <c r="G98" s="449"/>
      <c r="H98" s="449"/>
      <c r="I98" s="12"/>
    </row>
    <row r="99" spans="1:9" ht="15" customHeight="1">
      <c r="A99" s="158" t="s">
        <v>402</v>
      </c>
      <c r="B99" s="136"/>
      <c r="C99" s="158" t="s">
        <v>0</v>
      </c>
      <c r="D99" s="136"/>
      <c r="E99" s="137"/>
      <c r="F99" s="136"/>
      <c r="G99" s="136"/>
      <c r="H99" s="136"/>
      <c r="I99" s="12"/>
    </row>
    <row r="100" spans="1:9" ht="15" customHeight="1">
      <c r="A100" s="135"/>
      <c r="B100" s="136"/>
      <c r="C100" s="136"/>
      <c r="D100" s="136"/>
      <c r="E100" s="137"/>
      <c r="F100" s="136"/>
      <c r="G100" s="136"/>
      <c r="H100" s="136"/>
      <c r="I100" s="12"/>
    </row>
    <row r="101" spans="1:9" ht="15" customHeight="1">
      <c r="A101" s="449" t="s">
        <v>400</v>
      </c>
      <c r="B101" s="449"/>
      <c r="C101" s="449"/>
      <c r="D101" s="449"/>
      <c r="E101" s="449"/>
      <c r="F101" s="449"/>
      <c r="G101" s="449"/>
      <c r="H101" s="449"/>
      <c r="I101" s="12"/>
    </row>
    <row r="102" spans="1:9" ht="15" customHeight="1">
      <c r="A102" s="138" t="s">
        <v>165</v>
      </c>
      <c r="B102" s="139"/>
      <c r="C102" s="139" t="s">
        <v>0</v>
      </c>
      <c r="D102" s="139"/>
      <c r="E102" s="139"/>
      <c r="F102" s="139"/>
      <c r="G102" s="139"/>
      <c r="H102" s="136"/>
      <c r="I102" s="12"/>
    </row>
    <row r="103" spans="1:9" ht="15" customHeight="1">
      <c r="A103" s="138"/>
      <c r="B103" s="139"/>
      <c r="C103" s="139"/>
      <c r="D103" s="139"/>
      <c r="E103" s="139"/>
      <c r="F103" s="139"/>
      <c r="G103" s="139"/>
      <c r="H103" s="136"/>
      <c r="I103" s="12"/>
    </row>
    <row r="104" spans="1:9" ht="15" customHeight="1">
      <c r="A104" s="449" t="s">
        <v>232</v>
      </c>
      <c r="B104" s="449"/>
      <c r="C104" s="449"/>
      <c r="D104" s="449"/>
      <c r="E104" s="449"/>
      <c r="F104" s="449"/>
      <c r="G104" s="449"/>
      <c r="H104" s="449"/>
      <c r="I104" s="12"/>
    </row>
    <row r="105" spans="1:9" ht="15" customHeight="1">
      <c r="A105" s="138" t="s">
        <v>165</v>
      </c>
      <c r="B105" s="139"/>
      <c r="C105" s="139" t="s">
        <v>0</v>
      </c>
      <c r="D105" s="139"/>
      <c r="E105" s="139"/>
      <c r="F105" s="139"/>
      <c r="G105" s="139"/>
      <c r="H105" s="136"/>
      <c r="I105" s="12"/>
    </row>
    <row r="106" spans="1:9" ht="15" customHeight="1">
      <c r="A106" s="138"/>
      <c r="B106" s="139"/>
      <c r="C106" s="139"/>
      <c r="D106" s="139"/>
      <c r="E106" s="139"/>
      <c r="F106" s="139"/>
      <c r="G106" s="139"/>
      <c r="H106" s="136"/>
      <c r="I106" s="12"/>
    </row>
    <row r="107" spans="1:9" ht="15" customHeight="1">
      <c r="A107" s="449" t="s">
        <v>415</v>
      </c>
      <c r="B107" s="449"/>
      <c r="C107" s="449"/>
      <c r="D107" s="449"/>
      <c r="E107" s="449"/>
      <c r="F107" s="449"/>
      <c r="G107" s="449"/>
      <c r="H107" s="449"/>
      <c r="I107" s="12"/>
    </row>
    <row r="108" spans="1:9" ht="15" customHeight="1">
      <c r="A108" s="337" t="s">
        <v>166</v>
      </c>
      <c r="B108" s="139"/>
      <c r="C108" s="139"/>
      <c r="D108" s="139"/>
      <c r="E108" s="139"/>
      <c r="F108" s="139"/>
      <c r="G108" s="139"/>
      <c r="H108" s="136"/>
      <c r="I108" s="12"/>
    </row>
    <row r="109" spans="1:9" ht="15" customHeight="1">
      <c r="A109" s="158" t="s">
        <v>416</v>
      </c>
      <c r="B109" s="139"/>
      <c r="C109" s="139"/>
      <c r="D109" s="139"/>
      <c r="E109" s="139"/>
      <c r="F109" s="139"/>
      <c r="G109" s="139"/>
      <c r="H109" s="136"/>
      <c r="I109" s="12"/>
    </row>
    <row r="110" spans="1:9" ht="15" customHeight="1">
      <c r="A110" s="158"/>
      <c r="B110" s="139"/>
      <c r="C110" s="139"/>
      <c r="D110" s="139"/>
      <c r="E110" s="139"/>
      <c r="F110" s="139"/>
      <c r="G110" s="139"/>
      <c r="H110" s="136"/>
      <c r="I110" s="12"/>
    </row>
    <row r="111" spans="1:9" ht="15" customHeight="1">
      <c r="A111" s="141" t="s">
        <v>513</v>
      </c>
      <c r="B111" s="141"/>
      <c r="C111" s="141"/>
      <c r="D111" s="141"/>
      <c r="E111" s="141"/>
      <c r="F111" s="141"/>
      <c r="G111" s="141"/>
      <c r="H111" s="136"/>
      <c r="I111" s="12"/>
    </row>
    <row r="112" spans="1:9" ht="15" customHeight="1">
      <c r="A112" s="140" t="s">
        <v>167</v>
      </c>
      <c r="B112" s="139"/>
      <c r="C112" s="158" t="s">
        <v>514</v>
      </c>
      <c r="D112" s="139"/>
      <c r="E112" s="139"/>
      <c r="F112" s="139"/>
      <c r="G112" s="139"/>
      <c r="H112" s="136"/>
      <c r="I112" s="12"/>
    </row>
    <row r="113" spans="1:9">
      <c r="A113" s="140"/>
      <c r="B113" s="142"/>
      <c r="C113" s="142"/>
      <c r="D113" s="142"/>
      <c r="E113" s="142"/>
      <c r="F113" s="142"/>
      <c r="G113" s="142"/>
      <c r="H113" s="143"/>
      <c r="I113" s="12"/>
    </row>
    <row r="114" spans="1:9">
      <c r="A114" s="141" t="s">
        <v>276</v>
      </c>
    </row>
    <row r="115" spans="1:9">
      <c r="A115" s="338" t="s">
        <v>417</v>
      </c>
    </row>
    <row r="117" spans="1:9">
      <c r="A117" s="338"/>
    </row>
    <row r="118" spans="1:9">
      <c r="A118" s="338"/>
    </row>
    <row r="119" spans="1:9" ht="18">
      <c r="A119" s="251"/>
    </row>
    <row r="120" spans="1:9" ht="18">
      <c r="A120" s="251"/>
    </row>
    <row r="121" spans="1:9" ht="18">
      <c r="A121" s="251"/>
    </row>
    <row r="124" spans="1:9">
      <c r="A124" t="s">
        <v>0</v>
      </c>
    </row>
    <row r="128" spans="1:9">
      <c r="A128" t="s">
        <v>0</v>
      </c>
    </row>
    <row r="145" spans="1:1">
      <c r="A145" t="s">
        <v>0</v>
      </c>
    </row>
    <row r="168" spans="1:1">
      <c r="A168" s="338"/>
    </row>
    <row r="169" spans="1:1">
      <c r="A169" s="338"/>
    </row>
    <row r="170" spans="1:1">
      <c r="A170" s="338"/>
    </row>
    <row r="171" spans="1:1">
      <c r="A171" s="338"/>
    </row>
    <row r="172" spans="1:1">
      <c r="A172" s="338"/>
    </row>
  </sheetData>
  <mergeCells count="4">
    <mergeCell ref="A107:H107"/>
    <mergeCell ref="A98:H98"/>
    <mergeCell ref="A101:H101"/>
    <mergeCell ref="A104:H104"/>
  </mergeCells>
  <hyperlinks>
    <hyperlink ref="A102" r:id="rId1" xr:uid="{A2400942-43A6-4D28-859C-507207469F17}"/>
    <hyperlink ref="A112" r:id="rId2" location="4" display="https://www.cbo.gov/about/products/budget-economic-data - 4" xr:uid="{4BAA910D-CC44-4623-910D-70FCAEDD940E}"/>
    <hyperlink ref="A108" r:id="rId3" xr:uid="{5F126B57-94D4-4AA2-908C-AAB37FCACEC2}"/>
    <hyperlink ref="A105" r:id="rId4" xr:uid="{31515D37-2D45-4769-8DAD-76394193E5D1}"/>
    <hyperlink ref="A51" r:id="rId5" xr:uid="{F2D8D92D-2CFC-47F7-8367-848384BBC019}"/>
    <hyperlink ref="B35" r:id="rId6" xr:uid="{CD3D999A-96A5-46AB-8B02-6ACBB2D3BEDE}"/>
    <hyperlink ref="B38" r:id="rId7" xr:uid="{E7973359-2750-44D7-A081-1340481FB53A}"/>
    <hyperlink ref="B44" r:id="rId8" xr:uid="{6A86EEF7-E57A-4C61-899A-0DD4DFD58180}"/>
    <hyperlink ref="B41" r:id="rId9" xr:uid="{DF12CFA6-2317-4251-BCA8-D471B6651657}"/>
    <hyperlink ref="B47" r:id="rId10" xr:uid="{F8100272-647A-4007-8071-0447901DF690}"/>
    <hyperlink ref="A99" r:id="rId11" xr:uid="{17B1B6FF-377F-4DA9-927E-40274E67B3AF}"/>
    <hyperlink ref="A115" r:id="rId12" xr:uid="{0A69BF0E-FC36-436A-81EF-1DDAFAD30BF1}"/>
    <hyperlink ref="C99" r:id="rId13" display="https://www.federalreserve.gov/datadownload/Preview.aspx?pi=400&amp;rel=H15&amp;preview=%20H15/H15/RIFLGFCY05_N.WF" xr:uid="{6EF20D4B-0565-4D92-AA9D-0B4EB8DB9DBB}"/>
    <hyperlink ref="A109" r:id="rId14" display="https://www.philadelphiafed.org/-/media/frbp/assets/surveys-and-data/survey-of-professional-forecasters/2023/spfq123.pdf" xr:uid="{0A818F84-1B60-41D4-A224-350A3350E826}"/>
    <hyperlink ref="C112" r:id="rId15" xr:uid="{FFE4E50D-111A-49FA-B02F-98CF732B0092}"/>
  </hyperlinks>
  <pageMargins left="0.25" right="0.25" top="0.75" bottom="0.75" header="0.3" footer="0.3"/>
  <pageSetup scale="30" fitToWidth="0" orientation="portrait" r:id="rId16"/>
  <rowBreaks count="1" manualBreakCount="1">
    <brk id="116"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42F14-3100-4220-9131-7F24097183B2}">
  <sheetPr>
    <tabColor rgb="FF92D050"/>
    <pageSetUpPr fitToPage="1"/>
  </sheetPr>
  <dimension ref="A1:I108"/>
  <sheetViews>
    <sheetView view="pageBreakPreview" topLeftCell="A25" zoomScale="70" zoomScaleNormal="80" zoomScaleSheetLayoutView="70" workbookViewId="0">
      <selection activeCell="F44" sqref="F44"/>
    </sheetView>
  </sheetViews>
  <sheetFormatPr defaultRowHeight="15"/>
  <cols>
    <col min="1" max="1" width="45.7109375" customWidth="1"/>
    <col min="2" max="2" width="17.42578125" customWidth="1"/>
    <col min="3" max="3" width="72.140625" customWidth="1"/>
    <col min="4" max="4" width="34.5703125" customWidth="1"/>
    <col min="5" max="5" width="21.7109375" customWidth="1"/>
    <col min="6" max="6" width="17.85546875" customWidth="1"/>
    <col min="7" max="7" width="24.85546875" customWidth="1"/>
    <col min="8" max="8" width="18" customWidth="1"/>
    <col min="9" max="9" width="20.85546875" customWidth="1"/>
    <col min="10" max="10" width="19" customWidth="1"/>
    <col min="11" max="11" width="17.28515625" customWidth="1"/>
    <col min="12" max="12" width="24.140625" customWidth="1"/>
  </cols>
  <sheetData>
    <row r="1" spans="1:9" ht="20.25">
      <c r="A1" s="24" t="s">
        <v>1</v>
      </c>
      <c r="B1" s="12"/>
      <c r="C1" s="12"/>
      <c r="D1" s="12"/>
      <c r="E1" s="12"/>
      <c r="F1" s="12"/>
      <c r="G1" s="12"/>
      <c r="H1" s="12"/>
      <c r="I1" s="12"/>
    </row>
    <row r="2" spans="1:9" ht="15.75">
      <c r="A2" s="64" t="s">
        <v>9</v>
      </c>
      <c r="B2" s="12"/>
      <c r="C2" s="12"/>
      <c r="D2" s="12"/>
      <c r="E2" s="12"/>
      <c r="F2" s="12"/>
      <c r="G2" s="12"/>
      <c r="H2" s="12"/>
      <c r="I2" s="12"/>
    </row>
    <row r="3" spans="1:9">
      <c r="A3" s="44" t="s">
        <v>76</v>
      </c>
      <c r="B3" s="12"/>
      <c r="C3" s="12"/>
      <c r="D3" s="12"/>
      <c r="E3" s="12"/>
      <c r="F3" s="12"/>
      <c r="G3" s="12"/>
      <c r="H3" s="12"/>
      <c r="I3" s="12"/>
    </row>
    <row r="4" spans="1:9">
      <c r="A4" s="12"/>
      <c r="B4" s="12"/>
      <c r="C4" s="12"/>
      <c r="D4" s="12"/>
      <c r="E4" s="12"/>
      <c r="F4" s="12"/>
      <c r="G4" s="12"/>
      <c r="H4" s="12"/>
      <c r="I4" s="12"/>
    </row>
    <row r="5" spans="1:9" ht="16.5" thickBot="1">
      <c r="A5" s="64"/>
      <c r="B5" s="12"/>
      <c r="C5" s="12"/>
      <c r="D5" s="12"/>
      <c r="E5" s="12"/>
      <c r="F5" s="12"/>
      <c r="G5" s="12"/>
      <c r="H5" s="12"/>
      <c r="I5" s="12"/>
    </row>
    <row r="6" spans="1:9" ht="18.75" thickBot="1">
      <c r="A6" s="279" t="str">
        <f>+'S&amp;D'!A12</f>
        <v>Electric Wholesale (non-regulated) Power Generator</v>
      </c>
      <c r="B6" s="280"/>
      <c r="C6" s="207"/>
      <c r="D6" s="12"/>
      <c r="E6" s="12"/>
      <c r="F6" s="12"/>
      <c r="G6" s="12"/>
      <c r="H6" s="12"/>
      <c r="I6" s="12"/>
    </row>
    <row r="7" spans="1:9" ht="18">
      <c r="A7" s="31"/>
      <c r="B7" s="12"/>
      <c r="C7" s="12"/>
      <c r="D7" s="12"/>
      <c r="E7" s="12"/>
      <c r="F7" s="12"/>
      <c r="G7" s="12"/>
      <c r="H7" s="12"/>
      <c r="I7" s="12"/>
    </row>
    <row r="8" spans="1:9" ht="16.5" thickBot="1">
      <c r="A8" s="64"/>
      <c r="B8" s="12"/>
      <c r="C8" s="29"/>
      <c r="E8" s="12"/>
      <c r="F8" s="12"/>
      <c r="G8" s="12"/>
      <c r="H8" s="12"/>
      <c r="I8" s="12"/>
    </row>
    <row r="9" spans="1:9" ht="20.25">
      <c r="B9" s="12"/>
      <c r="C9" s="32" t="s">
        <v>173</v>
      </c>
      <c r="E9" s="12"/>
      <c r="F9" s="12"/>
      <c r="G9" s="12"/>
      <c r="H9" s="12"/>
      <c r="I9" s="12"/>
    </row>
    <row r="10" spans="1:9" ht="18.75" thickBot="1">
      <c r="A10" s="31"/>
      <c r="B10" s="12"/>
      <c r="C10" s="33" t="s">
        <v>90</v>
      </c>
      <c r="E10" s="12"/>
      <c r="F10" s="12"/>
      <c r="G10" s="12"/>
      <c r="H10" s="12"/>
      <c r="I10" s="12"/>
    </row>
    <row r="11" spans="1:9" ht="18">
      <c r="A11" s="31"/>
      <c r="B11" s="12"/>
      <c r="C11" s="12"/>
      <c r="D11" s="12"/>
      <c r="E11" s="12"/>
      <c r="F11" s="12"/>
      <c r="G11" s="12"/>
      <c r="H11" s="12"/>
      <c r="I11" s="12"/>
    </row>
    <row r="12" spans="1:9" ht="15.75" thickBot="1">
      <c r="A12" s="12"/>
      <c r="B12" s="12"/>
      <c r="C12" s="12"/>
      <c r="D12" s="12"/>
      <c r="E12" s="12"/>
      <c r="F12" s="12"/>
      <c r="G12" s="12"/>
      <c r="H12" s="12"/>
      <c r="I12" s="12"/>
    </row>
    <row r="13" spans="1:9">
      <c r="A13" s="12"/>
      <c r="B13" s="12"/>
      <c r="C13" s="80" t="s">
        <v>0</v>
      </c>
      <c r="D13" s="80" t="s">
        <v>208</v>
      </c>
      <c r="E13" s="12"/>
      <c r="F13" s="12"/>
      <c r="G13" s="12"/>
      <c r="H13" s="12"/>
      <c r="I13" s="12"/>
    </row>
    <row r="14" spans="1:9" ht="18.75" thickBot="1">
      <c r="A14" s="12"/>
      <c r="B14" s="12"/>
      <c r="C14" s="374" t="s">
        <v>172</v>
      </c>
      <c r="D14" s="82" t="s">
        <v>302</v>
      </c>
      <c r="E14" s="12"/>
      <c r="F14" s="12"/>
      <c r="G14" s="12"/>
      <c r="H14" s="12"/>
      <c r="I14" s="12"/>
    </row>
    <row r="15" spans="1:9" ht="15.75">
      <c r="A15" s="12"/>
      <c r="B15" s="12"/>
      <c r="C15" s="375" t="s">
        <v>452</v>
      </c>
      <c r="D15" s="376">
        <f>+CAPM!F16</f>
        <v>7.4882000000000004E-2</v>
      </c>
      <c r="E15" s="377"/>
      <c r="F15" s="12"/>
      <c r="G15" s="12"/>
      <c r="H15" s="12"/>
      <c r="I15" s="12"/>
    </row>
    <row r="16" spans="1:9" ht="15.75">
      <c r="A16" s="12"/>
      <c r="B16" s="12"/>
      <c r="C16" s="282" t="s">
        <v>453</v>
      </c>
      <c r="D16" s="401">
        <f>+CAPM!F17</f>
        <v>8.7652999999999995E-2</v>
      </c>
      <c r="E16" s="377"/>
      <c r="F16" s="12"/>
      <c r="G16" s="12"/>
      <c r="H16" s="12"/>
      <c r="I16" s="12"/>
    </row>
    <row r="17" spans="1:9" ht="15.75">
      <c r="A17" s="12"/>
      <c r="B17" s="12"/>
      <c r="C17" s="282" t="s">
        <v>482</v>
      </c>
      <c r="D17" s="401">
        <f>+CAPM!F19</f>
        <v>0.10022600000000001</v>
      </c>
      <c r="E17" s="377"/>
      <c r="F17" s="12"/>
      <c r="G17" s="12"/>
      <c r="H17" s="12"/>
      <c r="I17" s="12"/>
    </row>
    <row r="18" spans="1:9" ht="15.75">
      <c r="A18" s="12"/>
      <c r="B18" s="12"/>
      <c r="C18" s="282" t="s">
        <v>498</v>
      </c>
      <c r="D18" s="401">
        <f>+CAPM!F20</f>
        <v>9.9335000000000007E-2</v>
      </c>
      <c r="E18" s="377"/>
      <c r="F18" s="12"/>
      <c r="G18" s="12"/>
      <c r="H18" s="12"/>
      <c r="I18" s="12"/>
    </row>
    <row r="19" spans="1:9" ht="15.75">
      <c r="A19" s="12"/>
      <c r="B19" s="12"/>
      <c r="C19" s="282" t="s">
        <v>483</v>
      </c>
      <c r="D19" s="401">
        <f>+CAPM!F21</f>
        <v>9.7652000000000003E-2</v>
      </c>
      <c r="E19" s="377"/>
      <c r="F19" s="12"/>
      <c r="G19" s="12"/>
      <c r="H19" s="12"/>
      <c r="I19" s="12"/>
    </row>
    <row r="20" spans="1:9" ht="15.75">
      <c r="A20" s="12"/>
      <c r="B20" s="12"/>
      <c r="C20" s="282" t="s">
        <v>484</v>
      </c>
      <c r="D20" s="401">
        <f>+CAPM!F22</f>
        <v>8.9237000000000011E-2</v>
      </c>
      <c r="E20" s="377"/>
      <c r="F20" s="12"/>
      <c r="G20" s="12"/>
      <c r="H20" s="12"/>
      <c r="I20" s="12"/>
    </row>
    <row r="21" spans="1:9" ht="15.75">
      <c r="A21" s="12"/>
      <c r="B21" s="12"/>
      <c r="C21" s="282" t="s">
        <v>174</v>
      </c>
      <c r="D21" s="401">
        <f>+CAPM!F24</f>
        <v>8.7157999999999999E-2</v>
      </c>
      <c r="E21" s="377"/>
      <c r="F21" s="12"/>
      <c r="G21" s="12"/>
      <c r="H21" s="12"/>
      <c r="I21" s="12"/>
    </row>
    <row r="22" spans="1:9" ht="15.75">
      <c r="A22" s="12"/>
      <c r="B22" s="12"/>
      <c r="C22" s="402" t="s">
        <v>175</v>
      </c>
      <c r="D22" s="401">
        <f>+CAPM!F26</f>
        <v>9.6860000000000002E-2</v>
      </c>
      <c r="E22" s="377"/>
      <c r="F22" s="12"/>
      <c r="G22" s="12"/>
      <c r="H22" s="12"/>
      <c r="I22" s="12"/>
    </row>
    <row r="23" spans="1:9" ht="17.25">
      <c r="A23" s="12"/>
      <c r="B23" s="12"/>
      <c r="C23" s="402" t="s">
        <v>176</v>
      </c>
      <c r="D23" s="401">
        <f>+CAPM!F28</f>
        <v>0.10359199999999999</v>
      </c>
      <c r="G23" s="12"/>
      <c r="H23" s="12"/>
      <c r="I23" s="12"/>
    </row>
    <row r="24" spans="1:9" ht="17.25">
      <c r="A24" s="12"/>
      <c r="B24" s="12"/>
      <c r="C24" s="402" t="s">
        <v>177</v>
      </c>
      <c r="D24" s="401">
        <f>+CAPM!F29</f>
        <v>9.1018999999999989E-2</v>
      </c>
      <c r="G24" s="12"/>
      <c r="H24" s="12"/>
      <c r="I24" s="12"/>
    </row>
    <row r="25" spans="1:9" ht="17.25">
      <c r="A25" s="12"/>
      <c r="B25" s="12"/>
      <c r="C25" s="403" t="s">
        <v>485</v>
      </c>
      <c r="D25" s="401">
        <f>+CAPM!F31</f>
        <v>0.112403</v>
      </c>
      <c r="G25" s="12"/>
      <c r="H25" s="12"/>
      <c r="I25" s="12"/>
    </row>
    <row r="26" spans="1:9" ht="15.75">
      <c r="A26" s="12"/>
      <c r="B26" s="12"/>
      <c r="C26" s="403" t="s">
        <v>486</v>
      </c>
      <c r="D26" s="401">
        <f>+CAPM!F32</f>
        <v>0.104285</v>
      </c>
      <c r="E26" s="378"/>
      <c r="F26" s="12"/>
      <c r="G26" s="12"/>
      <c r="H26" s="12"/>
      <c r="I26" s="12"/>
    </row>
    <row r="27" spans="1:9" ht="15.75">
      <c r="A27" s="12"/>
      <c r="B27" s="12"/>
      <c r="C27" s="403" t="s">
        <v>487</v>
      </c>
      <c r="D27" s="401">
        <f>+CAPM!F33</f>
        <v>0.10081999999999999</v>
      </c>
      <c r="E27" s="378"/>
      <c r="F27" s="12"/>
      <c r="G27" s="12"/>
      <c r="H27" s="12"/>
      <c r="I27" s="12"/>
    </row>
    <row r="28" spans="1:9" ht="15.75">
      <c r="A28" s="12"/>
      <c r="B28" s="12"/>
      <c r="C28" s="403" t="s">
        <v>473</v>
      </c>
      <c r="D28" s="401">
        <f>+CAPM!F35</f>
        <v>0.10081999999999999</v>
      </c>
      <c r="E28" s="378"/>
      <c r="F28" s="12"/>
      <c r="G28" s="12"/>
      <c r="H28" s="12"/>
      <c r="I28" s="12"/>
    </row>
    <row r="29" spans="1:9" ht="15.75">
      <c r="A29" s="12"/>
      <c r="B29" s="12"/>
      <c r="C29" s="402" t="s">
        <v>454</v>
      </c>
      <c r="D29" s="401">
        <f>+CAPM!G42</f>
        <v>7.4966499999999991E-2</v>
      </c>
      <c r="E29" s="377"/>
      <c r="F29" s="12"/>
      <c r="G29" s="12"/>
      <c r="H29" s="12"/>
      <c r="I29" s="12"/>
    </row>
    <row r="30" spans="1:9" ht="15.75">
      <c r="A30" s="12"/>
      <c r="B30" s="12"/>
      <c r="C30" s="402" t="s">
        <v>455</v>
      </c>
      <c r="D30" s="401">
        <f>+CAPM!G43</f>
        <v>8.7769749999999994E-2</v>
      </c>
      <c r="E30" s="377"/>
      <c r="F30" s="12"/>
      <c r="G30" s="12"/>
      <c r="H30" s="12"/>
      <c r="I30" s="12"/>
    </row>
    <row r="31" spans="1:9" ht="15.75">
      <c r="A31" s="12"/>
      <c r="B31" s="12"/>
      <c r="C31" s="282" t="s">
        <v>488</v>
      </c>
      <c r="D31" s="401">
        <f>+CAPM!G45</f>
        <v>0.10037450000000001</v>
      </c>
      <c r="E31" s="377"/>
      <c r="F31" s="12"/>
      <c r="G31" s="12"/>
      <c r="H31" s="12"/>
      <c r="I31" s="12"/>
    </row>
    <row r="32" spans="1:9" ht="15.75">
      <c r="A32" s="12"/>
      <c r="B32" s="12"/>
      <c r="C32" s="282" t="s">
        <v>499</v>
      </c>
      <c r="D32" s="401">
        <f>+CAPM!G46</f>
        <v>9.9481249999999993E-2</v>
      </c>
      <c r="E32" s="377"/>
      <c r="F32" s="12"/>
      <c r="G32" s="12"/>
      <c r="H32" s="12"/>
      <c r="I32" s="12"/>
    </row>
    <row r="33" spans="1:9" ht="15.75">
      <c r="A33" s="12"/>
      <c r="B33" s="12"/>
      <c r="C33" s="282" t="s">
        <v>489</v>
      </c>
      <c r="D33" s="401">
        <f>+CAPM!G47</f>
        <v>9.7794000000000006E-2</v>
      </c>
      <c r="E33" s="377"/>
      <c r="F33" s="12"/>
      <c r="G33" s="12"/>
      <c r="H33" s="12"/>
      <c r="I33" s="12"/>
    </row>
    <row r="34" spans="1:9" ht="15.75">
      <c r="A34" s="12"/>
      <c r="B34" s="12"/>
      <c r="C34" s="282" t="s">
        <v>490</v>
      </c>
      <c r="D34" s="401">
        <f>+CAPM!G48</f>
        <v>8.9357750000000014E-2</v>
      </c>
      <c r="E34" s="377"/>
      <c r="F34" s="12"/>
      <c r="G34" s="12"/>
      <c r="H34" s="12"/>
      <c r="I34" s="12"/>
    </row>
    <row r="35" spans="1:9" ht="15.75">
      <c r="A35" s="12"/>
      <c r="B35" s="12"/>
      <c r="C35" s="402" t="s">
        <v>178</v>
      </c>
      <c r="D35" s="401">
        <f>+CAPM!G50</f>
        <v>8.7273500000000004E-2</v>
      </c>
      <c r="E35" s="377"/>
      <c r="F35" s="12"/>
      <c r="G35" s="12"/>
      <c r="H35" s="12"/>
      <c r="I35" s="12"/>
    </row>
    <row r="36" spans="1:9" ht="15.75">
      <c r="A36" s="12"/>
      <c r="B36" s="12"/>
      <c r="C36" s="402" t="s">
        <v>179</v>
      </c>
      <c r="D36" s="401">
        <f>+CAPM!G52</f>
        <v>9.7000000000000003E-2</v>
      </c>
      <c r="E36" s="377"/>
      <c r="F36" s="12"/>
      <c r="G36" s="12"/>
      <c r="H36" s="12"/>
      <c r="I36" s="12"/>
    </row>
    <row r="37" spans="1:9" ht="15.75">
      <c r="A37" s="12"/>
      <c r="B37" s="12"/>
      <c r="C37" s="403" t="s">
        <v>180</v>
      </c>
      <c r="D37" s="401">
        <f>+CAPM!G54</f>
        <v>0.10374899999999998</v>
      </c>
      <c r="E37" s="377"/>
      <c r="F37" s="12"/>
      <c r="G37" s="12"/>
      <c r="H37" s="12"/>
      <c r="I37" s="12"/>
    </row>
    <row r="38" spans="1:9" ht="15.75">
      <c r="A38" s="12"/>
      <c r="B38" s="12"/>
      <c r="C38" s="402" t="s">
        <v>181</v>
      </c>
      <c r="D38" s="401">
        <f>+CAPM!G55</f>
        <v>9.1144249999999996E-2</v>
      </c>
      <c r="E38" s="377"/>
      <c r="F38" s="12"/>
      <c r="G38" s="12"/>
      <c r="H38" s="12"/>
      <c r="I38" s="12"/>
    </row>
    <row r="39" spans="1:9" ht="16.5" customHeight="1">
      <c r="A39" s="12"/>
      <c r="B39" s="12"/>
      <c r="C39" s="403" t="s">
        <v>491</v>
      </c>
      <c r="D39" s="401">
        <f>+CAPM!G57</f>
        <v>0.11258224999999999</v>
      </c>
      <c r="E39" s="377" t="s">
        <v>0</v>
      </c>
      <c r="F39" s="12"/>
      <c r="G39" s="12"/>
      <c r="H39" s="12"/>
      <c r="I39" s="12"/>
    </row>
    <row r="40" spans="1:9" ht="16.5" customHeight="1">
      <c r="A40" s="12"/>
      <c r="B40" s="12"/>
      <c r="C40" s="403" t="s">
        <v>492</v>
      </c>
      <c r="D40" s="401">
        <f>+CAPM!G58</f>
        <v>0.10444375</v>
      </c>
      <c r="E40" s="377"/>
      <c r="F40" s="12"/>
      <c r="G40" s="12"/>
      <c r="H40" s="12"/>
      <c r="I40" s="12"/>
    </row>
    <row r="41" spans="1:9" ht="18.75" customHeight="1">
      <c r="A41" s="12"/>
      <c r="B41" s="12"/>
      <c r="C41" s="403" t="s">
        <v>493</v>
      </c>
      <c r="D41" s="401">
        <f>+CAPM!G59</f>
        <v>0.10096999999999999</v>
      </c>
      <c r="E41" s="379"/>
      <c r="F41" s="12"/>
      <c r="G41" s="12"/>
      <c r="H41" s="12"/>
      <c r="I41" s="12"/>
    </row>
    <row r="42" spans="1:9" ht="18.75" customHeight="1">
      <c r="A42" s="12"/>
      <c r="B42" s="12"/>
      <c r="C42" s="404" t="s">
        <v>474</v>
      </c>
      <c r="D42" s="227">
        <f>+CAPM!G61</f>
        <v>0.10096999999999999</v>
      </c>
      <c r="E42" s="379"/>
      <c r="F42" s="12"/>
      <c r="G42" s="12"/>
      <c r="H42" s="12"/>
      <c r="I42" s="12"/>
    </row>
    <row r="43" spans="1:9" ht="21.75" customHeight="1">
      <c r="A43" s="12"/>
      <c r="B43" s="12"/>
      <c r="C43" s="405" t="s">
        <v>258</v>
      </c>
      <c r="D43" s="226">
        <f>+'Single Stage Div Growth Model'!I30</f>
        <v>9.2100000000000001E-2</v>
      </c>
      <c r="G43" s="12"/>
      <c r="H43" s="12"/>
      <c r="I43" s="12"/>
    </row>
    <row r="44" spans="1:9" ht="21.75" customHeight="1">
      <c r="A44" s="12"/>
      <c r="B44" s="12"/>
      <c r="C44" s="283" t="s">
        <v>257</v>
      </c>
      <c r="D44" s="226">
        <f>+'Single Stage Div Growth Model'!I32</f>
        <v>8.3400000000000002E-2</v>
      </c>
      <c r="G44" s="12"/>
      <c r="H44" s="12"/>
      <c r="I44" s="12"/>
    </row>
    <row r="45" spans="1:9" ht="21.75" customHeight="1">
      <c r="A45" s="12"/>
      <c r="B45" s="12"/>
      <c r="C45" s="380" t="s">
        <v>259</v>
      </c>
      <c r="D45" s="381">
        <f>+'Two-Stage Dividend Growth Model'!H34</f>
        <v>7.3700000000000002E-2</v>
      </c>
      <c r="G45" s="83" t="s">
        <v>0</v>
      </c>
      <c r="H45" s="12"/>
      <c r="I45" s="12"/>
    </row>
    <row r="46" spans="1:9" ht="21.75" customHeight="1">
      <c r="A46" s="12"/>
      <c r="B46" s="12"/>
      <c r="C46" s="365" t="s">
        <v>383</v>
      </c>
      <c r="D46" s="366">
        <f>+'Direct NOPAT'!G59</f>
        <v>9.2200000000000004E-2</v>
      </c>
      <c r="E46" s="200" t="s">
        <v>0</v>
      </c>
      <c r="F46" s="12"/>
      <c r="G46" s="12"/>
      <c r="H46" s="12"/>
      <c r="I46" s="12"/>
    </row>
    <row r="47" spans="1:9" ht="15.75" thickBot="1">
      <c r="A47" s="12"/>
      <c r="B47" s="12"/>
      <c r="C47" s="12"/>
      <c r="D47" s="72"/>
      <c r="E47" s="12"/>
      <c r="F47" s="12"/>
      <c r="G47" s="12"/>
      <c r="H47" s="12"/>
      <c r="I47" s="12"/>
    </row>
    <row r="48" spans="1:9" ht="15.75" thickTop="1">
      <c r="A48" s="12"/>
      <c r="B48" s="12"/>
      <c r="C48" s="14" t="s">
        <v>53</v>
      </c>
      <c r="D48" s="53">
        <v>0.1124</v>
      </c>
      <c r="E48" s="157"/>
      <c r="F48" s="12"/>
      <c r="G48" s="12"/>
      <c r="H48" s="12"/>
      <c r="I48" s="12"/>
    </row>
    <row r="49" spans="1:9">
      <c r="A49" s="12"/>
      <c r="B49" s="12"/>
      <c r="C49" s="14" t="s">
        <v>54</v>
      </c>
      <c r="D49" s="373">
        <v>7.1300000000000002E-2</v>
      </c>
      <c r="E49" s="12"/>
      <c r="F49" s="12"/>
      <c r="G49" s="53"/>
      <c r="H49" s="53"/>
      <c r="I49" s="53"/>
    </row>
    <row r="50" spans="1:9">
      <c r="A50" s="12"/>
      <c r="B50" s="12"/>
      <c r="C50" s="14" t="s">
        <v>18</v>
      </c>
      <c r="D50" s="83">
        <f>MEDIAN(D15:D45)</f>
        <v>9.7652000000000003E-2</v>
      </c>
      <c r="E50" s="83"/>
      <c r="F50" s="83"/>
      <c r="G50" s="83"/>
      <c r="H50" s="83"/>
      <c r="I50" s="83"/>
    </row>
    <row r="51" spans="1:9">
      <c r="A51" s="12"/>
      <c r="B51" s="12"/>
      <c r="C51" s="14" t="s">
        <v>457</v>
      </c>
      <c r="D51" s="84">
        <f>AVERAGE(D15:D45)</f>
        <v>9.4936080645161292E-2</v>
      </c>
      <c r="E51" s="84"/>
      <c r="F51" s="84"/>
      <c r="G51" s="84"/>
      <c r="H51" s="84"/>
      <c r="I51" s="84"/>
    </row>
    <row r="52" spans="1:9">
      <c r="A52" s="12"/>
      <c r="B52" s="12"/>
      <c r="C52" s="14" t="s">
        <v>458</v>
      </c>
      <c r="D52" s="84">
        <f>HARMEAN(D15:D45)</f>
        <v>9.3871729346802268E-2</v>
      </c>
      <c r="E52" s="84"/>
      <c r="F52" s="84"/>
      <c r="G52" s="84"/>
      <c r="H52" s="84"/>
      <c r="I52" s="84"/>
    </row>
    <row r="53" spans="1:9" ht="15.75" thickBot="1">
      <c r="A53" s="12"/>
      <c r="B53" s="12"/>
      <c r="C53" s="12"/>
      <c r="D53" s="12" t="s">
        <v>211</v>
      </c>
      <c r="E53" s="12"/>
      <c r="F53" s="12"/>
      <c r="G53" s="12"/>
      <c r="H53" s="12"/>
      <c r="I53" s="12"/>
    </row>
    <row r="54" spans="1:9" ht="21" thickBot="1">
      <c r="A54" s="12"/>
      <c r="B54" s="12"/>
      <c r="C54" s="216" t="s">
        <v>265</v>
      </c>
      <c r="D54" s="428">
        <v>9.4899999999999998E-2</v>
      </c>
      <c r="E54" s="85"/>
      <c r="F54" s="85"/>
    </row>
    <row r="55" spans="1:9">
      <c r="A55" s="12"/>
      <c r="B55" s="12"/>
      <c r="C55" s="12"/>
      <c r="D55" s="12"/>
      <c r="E55" s="12"/>
      <c r="F55" s="12"/>
    </row>
    <row r="56" spans="1:9" ht="15.75">
      <c r="A56" s="112" t="s">
        <v>0</v>
      </c>
      <c r="B56" s="12"/>
      <c r="C56" s="12"/>
      <c r="D56" s="12"/>
      <c r="E56" s="12"/>
      <c r="F56" s="12"/>
      <c r="G56" s="12"/>
      <c r="H56" s="12"/>
      <c r="I56" s="12"/>
    </row>
    <row r="57" spans="1:9" ht="15.75">
      <c r="A57" s="112" t="s">
        <v>0</v>
      </c>
      <c r="B57" s="12"/>
      <c r="C57" s="12"/>
      <c r="D57" s="12"/>
      <c r="E57" s="12"/>
      <c r="F57" s="12"/>
      <c r="G57" s="12"/>
      <c r="H57" s="12"/>
      <c r="I57" s="12"/>
    </row>
    <row r="58" spans="1:9">
      <c r="A58" s="12"/>
      <c r="B58" s="12"/>
      <c r="C58" s="12"/>
      <c r="D58" s="12"/>
      <c r="E58" s="12"/>
      <c r="F58" s="12"/>
      <c r="G58" s="12"/>
      <c r="H58" s="12"/>
      <c r="I58" s="12"/>
    </row>
    <row r="59" spans="1:9">
      <c r="A59" s="12"/>
      <c r="B59" s="12"/>
      <c r="C59" s="12"/>
      <c r="D59" s="12"/>
      <c r="E59" s="12"/>
      <c r="F59" s="12"/>
      <c r="G59" s="12"/>
      <c r="H59" s="12"/>
      <c r="I59" s="12"/>
    </row>
    <row r="60" spans="1:9">
      <c r="A60" s="12"/>
      <c r="B60" s="12"/>
      <c r="C60" s="12"/>
      <c r="D60" s="12"/>
      <c r="E60" s="12"/>
      <c r="F60" s="12"/>
      <c r="G60" s="12"/>
      <c r="H60" s="12"/>
      <c r="I60" s="12"/>
    </row>
    <row r="61" spans="1:9">
      <c r="A61" s="12"/>
      <c r="B61" s="12"/>
      <c r="C61" s="12"/>
      <c r="D61" s="12"/>
      <c r="E61" s="12"/>
      <c r="F61" s="12"/>
      <c r="G61" s="12"/>
      <c r="H61" s="12"/>
      <c r="I61" s="12"/>
    </row>
    <row r="62" spans="1:9">
      <c r="A62" s="12"/>
      <c r="B62" s="12"/>
      <c r="C62" s="12"/>
      <c r="D62" s="12" t="s">
        <v>0</v>
      </c>
      <c r="E62" s="12"/>
      <c r="F62" s="12"/>
      <c r="G62" s="12"/>
      <c r="H62" s="12"/>
      <c r="I62" s="12"/>
    </row>
    <row r="63" spans="1:9">
      <c r="A63" s="12"/>
      <c r="B63" s="12"/>
      <c r="C63" s="12"/>
      <c r="D63" s="12" t="s">
        <v>0</v>
      </c>
      <c r="E63" s="12"/>
      <c r="F63" s="12"/>
      <c r="G63" s="12"/>
      <c r="H63" s="12"/>
      <c r="I63" s="12"/>
    </row>
    <row r="64" spans="1:9">
      <c r="A64" s="12"/>
      <c r="B64" s="12"/>
      <c r="C64" s="12"/>
      <c r="D64" s="12"/>
      <c r="E64" s="12"/>
      <c r="F64" s="12"/>
      <c r="G64" s="12"/>
      <c r="H64" s="12"/>
      <c r="I64" s="12"/>
    </row>
    <row r="65" spans="1:9">
      <c r="A65" s="12"/>
      <c r="B65" s="12"/>
      <c r="C65" s="12"/>
      <c r="D65" s="12"/>
      <c r="E65" s="12"/>
      <c r="F65" s="12"/>
      <c r="G65" s="12"/>
      <c r="H65" s="12"/>
      <c r="I65" s="12"/>
    </row>
    <row r="66" spans="1:9">
      <c r="A66" s="12"/>
      <c r="B66" s="12"/>
      <c r="C66" s="12"/>
      <c r="D66" s="12"/>
      <c r="E66" s="12"/>
      <c r="F66" s="12"/>
      <c r="G66" s="12"/>
      <c r="H66" s="12"/>
      <c r="I66" s="12"/>
    </row>
    <row r="67" spans="1:9">
      <c r="A67" s="12"/>
      <c r="B67" s="12"/>
      <c r="C67" s="12"/>
      <c r="D67" s="12"/>
      <c r="E67" s="12"/>
      <c r="F67" s="12"/>
      <c r="G67" s="12"/>
      <c r="H67" s="12"/>
      <c r="I67" s="12"/>
    </row>
    <row r="68" spans="1:9">
      <c r="A68" s="12"/>
      <c r="B68" s="12"/>
      <c r="C68" s="12"/>
      <c r="D68" s="12"/>
      <c r="E68" s="12"/>
      <c r="F68" s="12"/>
      <c r="G68" s="12"/>
      <c r="H68" s="12"/>
      <c r="I68" s="12"/>
    </row>
    <row r="69" spans="1:9">
      <c r="A69" s="12"/>
      <c r="B69" s="12"/>
      <c r="C69" s="12"/>
      <c r="D69" s="12"/>
      <c r="E69" s="12"/>
      <c r="F69" s="12"/>
      <c r="G69" s="12"/>
      <c r="H69" s="12"/>
      <c r="I69" s="12"/>
    </row>
    <row r="70" spans="1:9">
      <c r="A70" s="12"/>
      <c r="B70" s="12"/>
      <c r="C70" s="12"/>
      <c r="D70" s="12"/>
      <c r="E70" s="12"/>
      <c r="F70" s="12"/>
      <c r="G70" s="12"/>
      <c r="H70" s="12"/>
      <c r="I70" s="12"/>
    </row>
    <row r="71" spans="1:9">
      <c r="A71" s="12"/>
      <c r="B71" s="12"/>
      <c r="C71" s="12"/>
      <c r="D71" s="12"/>
      <c r="E71" s="12"/>
      <c r="F71" s="12"/>
      <c r="G71" s="12"/>
      <c r="H71" s="12"/>
      <c r="I71" s="12"/>
    </row>
    <row r="72" spans="1:9">
      <c r="A72" s="12"/>
      <c r="B72" s="12"/>
      <c r="C72" s="12"/>
      <c r="D72" s="12"/>
      <c r="E72" s="12"/>
      <c r="F72" s="12"/>
      <c r="G72" s="12"/>
      <c r="H72" s="12"/>
      <c r="I72" s="12"/>
    </row>
    <row r="73" spans="1:9">
      <c r="A73" s="12"/>
      <c r="B73" s="12"/>
      <c r="C73" s="12"/>
      <c r="D73" s="12"/>
      <c r="E73" s="12"/>
      <c r="F73" s="12"/>
      <c r="G73" s="12"/>
      <c r="H73" s="12"/>
      <c r="I73" s="12"/>
    </row>
    <row r="74" spans="1:9">
      <c r="A74" s="12"/>
      <c r="B74" s="12"/>
      <c r="C74" s="12"/>
      <c r="D74" s="12"/>
      <c r="E74" s="12"/>
      <c r="F74" s="12"/>
      <c r="G74" s="12"/>
      <c r="H74" s="12"/>
      <c r="I74" s="12"/>
    </row>
    <row r="75" spans="1:9">
      <c r="A75" s="12"/>
      <c r="B75" s="12"/>
      <c r="C75" s="12"/>
      <c r="D75" s="12"/>
      <c r="E75" s="12"/>
      <c r="F75" s="12"/>
      <c r="G75" s="12"/>
      <c r="H75" s="12"/>
      <c r="I75" s="12"/>
    </row>
    <row r="76" spans="1:9">
      <c r="A76" s="12"/>
      <c r="B76" s="12"/>
      <c r="C76" s="12"/>
      <c r="D76" s="12"/>
      <c r="E76" s="12"/>
      <c r="F76" s="12"/>
      <c r="G76" s="12"/>
      <c r="H76" s="12"/>
      <c r="I76" s="12"/>
    </row>
    <row r="77" spans="1:9">
      <c r="A77" s="12"/>
      <c r="B77" s="12"/>
      <c r="C77" s="12"/>
      <c r="D77" s="12"/>
      <c r="E77" s="12"/>
      <c r="F77" s="12"/>
      <c r="G77" s="12"/>
      <c r="H77" s="12"/>
      <c r="I77" s="12"/>
    </row>
    <row r="78" spans="1:9">
      <c r="A78" s="12"/>
      <c r="B78" s="12"/>
      <c r="C78" s="12"/>
      <c r="D78" s="12"/>
      <c r="E78" s="12"/>
      <c r="F78" s="12"/>
      <c r="G78" s="12"/>
      <c r="H78" s="12"/>
      <c r="I78" s="12"/>
    </row>
    <row r="79" spans="1:9">
      <c r="A79" s="12"/>
      <c r="B79" s="12"/>
      <c r="C79" s="12"/>
      <c r="D79" s="12"/>
      <c r="E79" s="12"/>
      <c r="F79" s="12"/>
      <c r="G79" s="12"/>
      <c r="H79" s="12"/>
      <c r="I79" s="12"/>
    </row>
    <row r="80" spans="1:9">
      <c r="A80" s="12"/>
      <c r="B80" s="12"/>
      <c r="C80" s="12"/>
      <c r="D80" s="12"/>
      <c r="E80" s="12"/>
      <c r="F80" s="12"/>
      <c r="G80" s="12"/>
      <c r="H80" s="12"/>
      <c r="I80" s="12"/>
    </row>
    <row r="81" spans="1:9">
      <c r="A81" s="12"/>
      <c r="B81" s="12"/>
      <c r="C81" s="12"/>
      <c r="D81" s="12"/>
      <c r="E81" s="12"/>
      <c r="F81" s="12"/>
      <c r="G81" s="12"/>
      <c r="H81" s="12"/>
      <c r="I81" s="12"/>
    </row>
    <row r="82" spans="1:9">
      <c r="A82" s="12"/>
      <c r="B82" s="12"/>
      <c r="C82" s="12"/>
      <c r="D82" s="12"/>
      <c r="E82" s="12"/>
      <c r="F82" s="12"/>
      <c r="G82" s="12"/>
      <c r="H82" s="12"/>
      <c r="I82" s="12"/>
    </row>
    <row r="83" spans="1:9">
      <c r="A83" s="12"/>
      <c r="B83" s="12"/>
      <c r="C83" s="12"/>
      <c r="D83" s="12"/>
      <c r="E83" s="12"/>
      <c r="F83" s="12"/>
      <c r="G83" s="12"/>
      <c r="H83" s="12"/>
      <c r="I83" s="12"/>
    </row>
    <row r="84" spans="1:9">
      <c r="A84" s="12"/>
      <c r="B84" s="12"/>
      <c r="C84" s="12"/>
      <c r="D84" s="12"/>
      <c r="E84" s="12"/>
      <c r="F84" s="12"/>
      <c r="G84" s="12"/>
      <c r="H84" s="12"/>
      <c r="I84" s="12"/>
    </row>
    <row r="85" spans="1:9">
      <c r="A85" s="12"/>
      <c r="B85" s="12"/>
      <c r="C85" s="12"/>
      <c r="D85" s="12"/>
      <c r="E85" s="12"/>
      <c r="F85" s="12"/>
      <c r="G85" s="12"/>
      <c r="H85" s="12"/>
      <c r="I85" s="12"/>
    </row>
    <row r="86" spans="1:9">
      <c r="A86" s="12"/>
      <c r="B86" s="12"/>
      <c r="C86" s="12"/>
      <c r="D86" s="12"/>
      <c r="E86" s="12"/>
      <c r="F86" s="12"/>
      <c r="G86" s="12"/>
      <c r="H86" s="12"/>
      <c r="I86" s="12"/>
    </row>
    <row r="87" spans="1:9">
      <c r="A87" s="12"/>
      <c r="B87" s="12"/>
      <c r="C87" s="12"/>
      <c r="D87" s="12"/>
      <c r="E87" s="12"/>
      <c r="F87" s="12"/>
      <c r="G87" s="12"/>
      <c r="H87" s="12"/>
      <c r="I87" s="12"/>
    </row>
    <row r="88" spans="1:9">
      <c r="A88" s="12"/>
      <c r="B88" s="12"/>
      <c r="C88" s="12"/>
      <c r="D88" s="12"/>
      <c r="E88" s="12"/>
      <c r="F88" s="12"/>
      <c r="G88" s="12"/>
      <c r="H88" s="12"/>
      <c r="I88" s="12"/>
    </row>
    <row r="89" spans="1:9">
      <c r="A89" s="12"/>
      <c r="B89" s="12"/>
      <c r="C89" s="12"/>
      <c r="D89" s="12"/>
      <c r="E89" s="12"/>
      <c r="F89" s="12"/>
      <c r="G89" s="12"/>
      <c r="H89" s="12"/>
      <c r="I89" s="12"/>
    </row>
    <row r="90" spans="1:9">
      <c r="A90" s="12"/>
      <c r="B90" s="12"/>
      <c r="C90" s="12"/>
      <c r="D90" s="12"/>
      <c r="E90" s="12"/>
      <c r="F90" s="12"/>
      <c r="G90" s="12"/>
      <c r="H90" s="12"/>
      <c r="I90" s="12"/>
    </row>
    <row r="91" spans="1:9">
      <c r="A91" s="12"/>
      <c r="B91" s="12"/>
      <c r="C91" s="12"/>
      <c r="D91" s="12"/>
      <c r="E91" s="12"/>
      <c r="F91" s="12"/>
      <c r="G91" s="12"/>
      <c r="H91" s="12"/>
      <c r="I91" s="12"/>
    </row>
    <row r="92" spans="1:9">
      <c r="A92" s="12"/>
      <c r="B92" s="12"/>
      <c r="C92" s="12"/>
      <c r="D92" s="12"/>
      <c r="E92" s="12"/>
      <c r="F92" s="12"/>
      <c r="G92" s="12"/>
      <c r="H92" s="12"/>
      <c r="I92" s="12"/>
    </row>
    <row r="93" spans="1:9">
      <c r="A93" s="12"/>
      <c r="B93" s="12"/>
      <c r="C93" s="12"/>
      <c r="D93" s="12"/>
      <c r="E93" s="12"/>
      <c r="F93" s="12"/>
      <c r="G93" s="12"/>
      <c r="H93" s="12"/>
      <c r="I93" s="12"/>
    </row>
    <row r="94" spans="1:9">
      <c r="A94" s="12"/>
      <c r="B94" s="12"/>
      <c r="C94" s="12"/>
      <c r="D94" s="12"/>
      <c r="E94" s="12"/>
      <c r="F94" s="12"/>
      <c r="G94" s="12"/>
      <c r="H94" s="12"/>
      <c r="I94" s="12"/>
    </row>
    <row r="95" spans="1:9">
      <c r="A95" s="12"/>
      <c r="B95" s="12"/>
      <c r="C95" s="12"/>
      <c r="D95" s="12"/>
      <c r="E95" s="12"/>
      <c r="F95" s="12"/>
      <c r="G95" s="12"/>
      <c r="H95" s="12"/>
      <c r="I95" s="12"/>
    </row>
    <row r="96" spans="1:9">
      <c r="A96" s="12"/>
      <c r="B96" s="12"/>
      <c r="C96" s="12"/>
      <c r="D96" s="12"/>
      <c r="E96" s="12"/>
      <c r="F96" s="12"/>
      <c r="G96" s="12"/>
      <c r="H96" s="12"/>
      <c r="I96" s="12"/>
    </row>
    <row r="97" spans="1:9">
      <c r="A97" s="12"/>
      <c r="B97" s="12"/>
      <c r="C97" s="12"/>
      <c r="D97" s="12"/>
      <c r="E97" s="12"/>
      <c r="F97" s="12"/>
      <c r="G97" s="12"/>
      <c r="H97" s="12"/>
      <c r="I97" s="12"/>
    </row>
    <row r="98" spans="1:9">
      <c r="A98" s="12"/>
      <c r="B98" s="12"/>
      <c r="C98" s="12"/>
      <c r="D98" s="12"/>
      <c r="E98" s="12"/>
      <c r="F98" s="12"/>
      <c r="G98" s="12"/>
      <c r="H98" s="12"/>
      <c r="I98" s="12"/>
    </row>
    <row r="99" spans="1:9">
      <c r="A99" s="12"/>
      <c r="B99" s="12"/>
      <c r="C99" s="12"/>
      <c r="D99" s="12"/>
      <c r="E99" s="12"/>
      <c r="F99" s="12"/>
      <c r="G99" s="12"/>
      <c r="H99" s="12"/>
      <c r="I99" s="12"/>
    </row>
    <row r="100" spans="1:9">
      <c r="A100" s="12"/>
      <c r="B100" s="12"/>
      <c r="C100" s="12"/>
      <c r="D100" s="12"/>
      <c r="E100" s="12"/>
      <c r="F100" s="12"/>
      <c r="G100" s="12"/>
      <c r="H100" s="12"/>
      <c r="I100" s="12"/>
    </row>
    <row r="101" spans="1:9">
      <c r="A101" s="12"/>
      <c r="B101" s="12"/>
      <c r="C101" s="12"/>
      <c r="D101" s="12"/>
      <c r="E101" s="12"/>
      <c r="F101" s="12"/>
      <c r="G101" s="12"/>
      <c r="H101" s="12"/>
      <c r="I101" s="12"/>
    </row>
    <row r="102" spans="1:9">
      <c r="A102" s="12"/>
      <c r="B102" s="12"/>
      <c r="C102" s="12"/>
      <c r="D102" s="12"/>
      <c r="E102" s="12"/>
      <c r="F102" s="12"/>
      <c r="G102" s="12"/>
      <c r="H102" s="12"/>
      <c r="I102" s="12"/>
    </row>
    <row r="103" spans="1:9">
      <c r="A103" s="12"/>
      <c r="B103" s="12"/>
      <c r="C103" s="12"/>
      <c r="D103" s="12"/>
      <c r="E103" s="12"/>
      <c r="F103" s="12"/>
      <c r="G103" s="12"/>
      <c r="H103" s="12"/>
      <c r="I103" s="12"/>
    </row>
    <row r="104" spans="1:9">
      <c r="A104" s="12"/>
      <c r="B104" s="12"/>
      <c r="C104" s="12"/>
      <c r="D104" s="12"/>
      <c r="E104" s="12"/>
      <c r="F104" s="12"/>
      <c r="G104" s="12"/>
      <c r="H104" s="12"/>
      <c r="I104" s="12"/>
    </row>
    <row r="105" spans="1:9">
      <c r="A105" s="12"/>
      <c r="B105" s="12"/>
      <c r="C105" s="12"/>
      <c r="D105" s="12"/>
      <c r="E105" s="12"/>
      <c r="F105" s="12"/>
      <c r="G105" s="12"/>
      <c r="H105" s="12"/>
      <c r="I105" s="12"/>
    </row>
    <row r="106" spans="1:9">
      <c r="A106" s="12"/>
      <c r="B106" s="12"/>
      <c r="C106" s="12"/>
      <c r="D106" s="12"/>
      <c r="E106" s="12"/>
      <c r="F106" s="12"/>
      <c r="G106" s="12"/>
      <c r="H106" s="12"/>
      <c r="I106" s="12"/>
    </row>
    <row r="107" spans="1:9">
      <c r="A107" s="12"/>
      <c r="B107" s="12"/>
      <c r="C107" s="12"/>
      <c r="D107" s="12"/>
      <c r="E107" s="12"/>
      <c r="F107" s="12"/>
      <c r="G107" s="12"/>
      <c r="H107" s="12"/>
      <c r="I107" s="12"/>
    </row>
    <row r="108" spans="1:9">
      <c r="A108" s="12"/>
      <c r="B108" s="12"/>
      <c r="C108" s="12"/>
      <c r="D108" s="12"/>
      <c r="E108" s="12"/>
      <c r="F108" s="12"/>
      <c r="G108" s="12"/>
      <c r="H108" s="12"/>
      <c r="I108" s="12"/>
    </row>
  </sheetData>
  <pageMargins left="0.25" right="0.25" top="0.75" bottom="0.75" header="0.3" footer="0.3"/>
  <pageSetup scale="4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4FFEC-1F00-437E-BAA4-D2A0B875528B}">
  <sheetPr>
    <tabColor rgb="FF92D050"/>
    <pageSetUpPr fitToPage="1"/>
  </sheetPr>
  <dimension ref="A1:J84"/>
  <sheetViews>
    <sheetView view="pageBreakPreview" zoomScale="60" zoomScaleNormal="80" workbookViewId="0">
      <selection activeCell="B17" sqref="B17"/>
    </sheetView>
  </sheetViews>
  <sheetFormatPr defaultRowHeight="15"/>
  <cols>
    <col min="1" max="1" width="74.5703125" customWidth="1"/>
    <col min="2" max="2" width="21.7109375" customWidth="1"/>
    <col min="3" max="3" width="24.5703125" customWidth="1"/>
    <col min="4" max="4" width="29.42578125" customWidth="1"/>
    <col min="5" max="5" width="30.5703125" customWidth="1"/>
    <col min="6" max="6" width="32.140625" customWidth="1"/>
    <col min="7" max="7" width="27" customWidth="1"/>
    <col min="8" max="8" width="13.7109375" customWidth="1"/>
    <col min="9" max="9" width="13.85546875" customWidth="1"/>
    <col min="10" max="11" width="14.140625" bestFit="1" customWidth="1"/>
  </cols>
  <sheetData>
    <row r="1" spans="1:10" ht="20.25">
      <c r="A1" s="24" t="s">
        <v>1</v>
      </c>
      <c r="B1" s="24"/>
      <c r="C1" s="24"/>
      <c r="D1" s="12"/>
      <c r="E1" s="12"/>
      <c r="F1" s="12"/>
      <c r="G1" s="12"/>
      <c r="H1" s="12"/>
      <c r="I1" s="12"/>
      <c r="J1" s="12"/>
    </row>
    <row r="2" spans="1:10" ht="15.75">
      <c r="A2" s="25" t="s">
        <v>9</v>
      </c>
      <c r="B2" s="25"/>
      <c r="C2" s="25"/>
      <c r="D2" s="12"/>
      <c r="E2" s="12"/>
      <c r="F2" s="12"/>
      <c r="G2" s="12"/>
      <c r="H2" s="12"/>
      <c r="I2" s="12"/>
      <c r="J2" s="12"/>
    </row>
    <row r="3" spans="1:10">
      <c r="A3" s="26" t="s">
        <v>76</v>
      </c>
      <c r="B3" s="26"/>
      <c r="C3" s="26"/>
      <c r="D3" s="12"/>
      <c r="E3" s="12"/>
      <c r="F3" s="12"/>
      <c r="G3" s="12"/>
      <c r="H3" s="12"/>
      <c r="I3" s="12"/>
      <c r="J3" s="12"/>
    </row>
    <row r="4" spans="1:10">
      <c r="A4" s="26"/>
      <c r="B4" s="26"/>
      <c r="C4" s="26"/>
      <c r="D4" s="12"/>
      <c r="E4" s="12"/>
      <c r="F4" s="12"/>
      <c r="G4" s="12"/>
      <c r="H4" s="12"/>
      <c r="I4" s="12"/>
      <c r="J4" s="12"/>
    </row>
    <row r="5" spans="1:10" ht="15.75" thickBot="1">
      <c r="A5" s="12"/>
      <c r="B5" s="12"/>
      <c r="C5" s="12"/>
      <c r="D5" s="12"/>
      <c r="E5" s="12"/>
      <c r="F5" s="12"/>
      <c r="G5" s="12"/>
      <c r="H5" s="27" t="s">
        <v>0</v>
      </c>
      <c r="I5" s="27"/>
      <c r="J5" s="12"/>
    </row>
    <row r="6" spans="1:10" ht="18.75" thickBot="1">
      <c r="A6" s="28" t="str">
        <f>+'S&amp;D'!A12</f>
        <v>Electric Wholesale (non-regulated) Power Generator</v>
      </c>
      <c r="B6" s="12"/>
      <c r="C6" s="12"/>
      <c r="D6" s="29"/>
      <c r="E6" s="29"/>
      <c r="F6" s="29"/>
      <c r="G6" s="12"/>
      <c r="H6" s="12"/>
      <c r="I6" s="12"/>
      <c r="J6" s="12"/>
    </row>
    <row r="7" spans="1:10" ht="20.25">
      <c r="B7" s="31"/>
      <c r="C7" s="31"/>
      <c r="D7" s="12"/>
      <c r="E7" s="32" t="s">
        <v>228</v>
      </c>
      <c r="F7" s="12"/>
      <c r="G7" s="12"/>
      <c r="H7" s="12"/>
      <c r="I7" s="12"/>
      <c r="J7" s="12"/>
    </row>
    <row r="8" spans="1:10" ht="18.75" thickBot="1">
      <c r="A8" s="31"/>
      <c r="B8" s="31"/>
      <c r="C8" s="31"/>
      <c r="D8" s="29"/>
      <c r="E8" s="37" t="s">
        <v>90</v>
      </c>
      <c r="F8" s="29"/>
      <c r="G8" s="12"/>
      <c r="H8" s="12"/>
      <c r="I8" s="12"/>
      <c r="J8" s="12"/>
    </row>
    <row r="9" spans="1:10" ht="18">
      <c r="A9" s="31"/>
      <c r="B9" s="31"/>
      <c r="C9" s="31"/>
      <c r="D9" s="12"/>
      <c r="E9" s="35"/>
      <c r="F9" s="12"/>
      <c r="G9" s="12"/>
      <c r="H9" s="12"/>
      <c r="I9" s="12"/>
      <c r="J9" s="12"/>
    </row>
    <row r="10" spans="1:10" ht="18">
      <c r="A10" s="31"/>
      <c r="B10" s="31"/>
      <c r="H10" s="12"/>
      <c r="I10" s="12"/>
      <c r="J10" s="12"/>
    </row>
    <row r="11" spans="1:10" ht="18">
      <c r="A11" s="31"/>
      <c r="B11" s="31"/>
      <c r="H11" s="12"/>
      <c r="I11" s="12"/>
      <c r="J11" s="12"/>
    </row>
    <row r="12" spans="1:10" ht="30" customHeight="1" thickBot="1">
      <c r="A12" s="31"/>
      <c r="B12" s="31"/>
      <c r="C12" t="s">
        <v>0</v>
      </c>
      <c r="H12" s="12"/>
      <c r="I12" s="12"/>
      <c r="J12" s="12"/>
    </row>
    <row r="13" spans="1:10" ht="26.25" customHeight="1" thickBot="1">
      <c r="A13" s="170" t="s">
        <v>245</v>
      </c>
      <c r="B13" s="12" t="s">
        <v>0</v>
      </c>
      <c r="C13" s="12"/>
      <c r="D13" s="12"/>
      <c r="E13" s="12"/>
      <c r="F13" s="12"/>
      <c r="G13" s="12"/>
      <c r="H13" s="12"/>
      <c r="I13" s="12"/>
      <c r="J13" s="12"/>
    </row>
    <row r="14" spans="1:10" ht="42" customHeight="1" thickBot="1">
      <c r="A14" s="169" t="s">
        <v>243</v>
      </c>
      <c r="B14" s="168" t="s">
        <v>234</v>
      </c>
      <c r="C14" s="167" t="s">
        <v>246</v>
      </c>
      <c r="D14" s="168" t="s">
        <v>236</v>
      </c>
      <c r="E14" s="168" t="s">
        <v>442</v>
      </c>
      <c r="F14" s="166" t="s">
        <v>235</v>
      </c>
      <c r="G14" s="12"/>
      <c r="H14" s="12"/>
      <c r="I14" s="12"/>
      <c r="J14" s="12"/>
    </row>
    <row r="15" spans="1:10">
      <c r="A15" s="163"/>
      <c r="B15" s="118"/>
      <c r="C15" s="118"/>
      <c r="D15" s="118"/>
      <c r="E15" s="118"/>
      <c r="F15" s="164"/>
      <c r="G15" s="12"/>
      <c r="H15" s="12"/>
      <c r="I15" s="12"/>
      <c r="J15" s="12"/>
    </row>
    <row r="16" spans="1:10" ht="15.75">
      <c r="A16" s="208" t="s">
        <v>450</v>
      </c>
      <c r="B16" s="222">
        <v>3.3799999999999997E-2</v>
      </c>
      <c r="C16" s="219">
        <f>+'Beta for CAPM'!I30</f>
        <v>0.99</v>
      </c>
      <c r="D16" s="209">
        <f>+B16*C16</f>
        <v>3.3461999999999999E-2</v>
      </c>
      <c r="E16" s="209">
        <f>+'Growth &amp; Inflation Rates'!F93</f>
        <v>4.1419999999999998E-2</v>
      </c>
      <c r="F16" s="210">
        <f>+D16+E16</f>
        <v>7.4882000000000004E-2</v>
      </c>
      <c r="G16" s="12"/>
      <c r="H16" s="12"/>
      <c r="I16" s="12"/>
      <c r="J16" s="12"/>
    </row>
    <row r="17" spans="1:10" ht="15.75">
      <c r="A17" s="208" t="s">
        <v>451</v>
      </c>
      <c r="B17" s="222">
        <v>4.6699999999999998E-2</v>
      </c>
      <c r="C17" s="219">
        <f>+C16</f>
        <v>0.99</v>
      </c>
      <c r="D17" s="209">
        <f>+B17*C17</f>
        <v>4.6232999999999996E-2</v>
      </c>
      <c r="E17" s="209">
        <f>+E16</f>
        <v>4.1419999999999998E-2</v>
      </c>
      <c r="F17" s="210">
        <f>+D17+E17</f>
        <v>8.7652999999999995E-2</v>
      </c>
      <c r="G17" s="12"/>
      <c r="H17" s="12"/>
      <c r="I17" s="12"/>
      <c r="J17" s="12"/>
    </row>
    <row r="18" spans="1:10" ht="15.75">
      <c r="A18" s="211"/>
      <c r="B18" s="112"/>
      <c r="C18" s="112"/>
      <c r="D18" s="112"/>
      <c r="E18" s="112"/>
      <c r="F18" s="212"/>
      <c r="G18" s="12"/>
      <c r="H18" s="12"/>
      <c r="I18" s="12"/>
      <c r="J18" s="12"/>
    </row>
    <row r="19" spans="1:10" ht="15.75">
      <c r="A19" s="208" t="s">
        <v>476</v>
      </c>
      <c r="B19" s="222">
        <v>5.9400000000000001E-2</v>
      </c>
      <c r="C19" s="219">
        <f>+C16</f>
        <v>0.99</v>
      </c>
      <c r="D19" s="209">
        <f>+B19*C19</f>
        <v>5.8806000000000004E-2</v>
      </c>
      <c r="E19" s="209">
        <f>+E16</f>
        <v>4.1419999999999998E-2</v>
      </c>
      <c r="F19" s="210">
        <f>+D19+E19</f>
        <v>0.10022600000000001</v>
      </c>
      <c r="G19" s="12"/>
      <c r="H19" s="12"/>
      <c r="I19" s="12"/>
      <c r="J19" s="12"/>
    </row>
    <row r="20" spans="1:10" ht="15.75">
      <c r="A20" s="208" t="s">
        <v>495</v>
      </c>
      <c r="B20" s="222">
        <v>5.8500000000000003E-2</v>
      </c>
      <c r="C20" s="219">
        <f>+C16</f>
        <v>0.99</v>
      </c>
      <c r="D20" s="209">
        <f>+B20*C20</f>
        <v>5.7915000000000001E-2</v>
      </c>
      <c r="E20" s="209">
        <f>+E17</f>
        <v>4.1419999999999998E-2</v>
      </c>
      <c r="F20" s="210">
        <f>+D20+E20</f>
        <v>9.9335000000000007E-2</v>
      </c>
      <c r="G20" s="12"/>
      <c r="H20" s="12"/>
      <c r="I20" s="12"/>
      <c r="J20" s="12"/>
    </row>
    <row r="21" spans="1:10" ht="15.75">
      <c r="A21" s="208" t="s">
        <v>477</v>
      </c>
      <c r="B21" s="222">
        <v>5.6800000000000003E-2</v>
      </c>
      <c r="C21" s="219">
        <f>+C16</f>
        <v>0.99</v>
      </c>
      <c r="D21" s="209">
        <f>+B21*C21</f>
        <v>5.6232000000000004E-2</v>
      </c>
      <c r="E21" s="209">
        <f>+E16</f>
        <v>4.1419999999999998E-2</v>
      </c>
      <c r="F21" s="210">
        <f>+D21+E21</f>
        <v>9.7652000000000003E-2</v>
      </c>
      <c r="G21" s="12"/>
      <c r="H21" s="12"/>
      <c r="I21" s="12"/>
      <c r="J21" s="12"/>
    </row>
    <row r="22" spans="1:10" ht="15.75">
      <c r="A22" s="208" t="s">
        <v>478</v>
      </c>
      <c r="B22" s="222">
        <v>4.8300000000000003E-2</v>
      </c>
      <c r="C22" s="219">
        <f>+C16</f>
        <v>0.99</v>
      </c>
      <c r="D22" s="209">
        <f>+B22*C22</f>
        <v>4.7817000000000005E-2</v>
      </c>
      <c r="E22" s="209">
        <f>+E16</f>
        <v>4.1419999999999998E-2</v>
      </c>
      <c r="F22" s="210">
        <f>+D22+E22</f>
        <v>8.9237000000000011E-2</v>
      </c>
      <c r="G22" s="12"/>
      <c r="H22" s="12"/>
      <c r="I22" s="12"/>
      <c r="J22" s="12"/>
    </row>
    <row r="23" spans="1:10" ht="15.75">
      <c r="A23" s="208" t="s">
        <v>0</v>
      </c>
      <c r="B23" s="222" t="s">
        <v>0</v>
      </c>
      <c r="C23" s="220" t="s">
        <v>0</v>
      </c>
      <c r="D23" s="209" t="s">
        <v>0</v>
      </c>
      <c r="E23" s="209" t="s">
        <v>0</v>
      </c>
      <c r="F23" s="210" t="s">
        <v>0</v>
      </c>
      <c r="G23" s="12"/>
      <c r="H23" s="12"/>
      <c r="I23" s="12"/>
      <c r="J23" s="12"/>
    </row>
    <row r="24" spans="1:10" ht="15.75">
      <c r="A24" s="208" t="s">
        <v>239</v>
      </c>
      <c r="B24" s="222">
        <v>4.6199999999999998E-2</v>
      </c>
      <c r="C24" s="219">
        <f>+C16</f>
        <v>0.99</v>
      </c>
      <c r="D24" s="209">
        <f>+B24*C24</f>
        <v>4.5738000000000001E-2</v>
      </c>
      <c r="E24" s="209">
        <f>+E16</f>
        <v>4.1419999999999998E-2</v>
      </c>
      <c r="F24" s="210">
        <f>+D24+E24</f>
        <v>8.7157999999999999E-2</v>
      </c>
      <c r="G24" s="12"/>
      <c r="H24" s="12"/>
      <c r="I24" s="12"/>
      <c r="J24" s="12"/>
    </row>
    <row r="25" spans="1:10" ht="15.75">
      <c r="A25" s="208" t="s">
        <v>0</v>
      </c>
      <c r="B25" s="222" t="s">
        <v>0</v>
      </c>
      <c r="C25" s="220" t="s">
        <v>0</v>
      </c>
      <c r="D25" s="209" t="s">
        <v>0</v>
      </c>
      <c r="E25" s="209" t="s">
        <v>0</v>
      </c>
      <c r="F25" s="210" t="s">
        <v>0</v>
      </c>
      <c r="G25" s="12"/>
      <c r="H25" s="12"/>
      <c r="I25" s="12"/>
      <c r="J25" s="12"/>
    </row>
    <row r="26" spans="1:10" ht="15.75">
      <c r="A26" s="208" t="s">
        <v>494</v>
      </c>
      <c r="B26" s="222">
        <v>5.6000000000000001E-2</v>
      </c>
      <c r="C26" s="219">
        <f>+C16</f>
        <v>0.99</v>
      </c>
      <c r="D26" s="209">
        <f>+B26*C26</f>
        <v>5.5440000000000003E-2</v>
      </c>
      <c r="E26" s="209">
        <f>+E16</f>
        <v>4.1419999999999998E-2</v>
      </c>
      <c r="F26" s="210">
        <f>+D26+E26</f>
        <v>9.6860000000000002E-2</v>
      </c>
      <c r="G26" s="12"/>
      <c r="H26" s="12"/>
      <c r="I26" s="12"/>
      <c r="J26" s="12"/>
    </row>
    <row r="27" spans="1:10" ht="15.75">
      <c r="A27" s="208" t="s">
        <v>0</v>
      </c>
      <c r="B27" s="222" t="s">
        <v>0</v>
      </c>
      <c r="C27" s="220" t="s">
        <v>0</v>
      </c>
      <c r="D27" s="209" t="s">
        <v>0</v>
      </c>
      <c r="E27" s="209" t="s">
        <v>0</v>
      </c>
      <c r="F27" s="210" t="s">
        <v>0</v>
      </c>
      <c r="G27" s="12"/>
      <c r="H27" s="12"/>
      <c r="I27" s="12"/>
      <c r="J27" s="12"/>
    </row>
    <row r="28" spans="1:10" ht="15.75">
      <c r="A28" s="208" t="s">
        <v>240</v>
      </c>
      <c r="B28" s="222">
        <v>6.2799999999999995E-2</v>
      </c>
      <c r="C28" s="219">
        <f>+C16</f>
        <v>0.99</v>
      </c>
      <c r="D28" s="209">
        <f>+B28*C28</f>
        <v>6.2171999999999991E-2</v>
      </c>
      <c r="E28" s="209">
        <f>+E16</f>
        <v>4.1419999999999998E-2</v>
      </c>
      <c r="F28" s="210">
        <f>+D28+E28</f>
        <v>0.10359199999999999</v>
      </c>
      <c r="G28" s="12"/>
      <c r="H28" s="12"/>
      <c r="I28" s="12"/>
      <c r="J28" s="12"/>
    </row>
    <row r="29" spans="1:10" ht="15.75">
      <c r="A29" s="208" t="s">
        <v>241</v>
      </c>
      <c r="B29" s="222">
        <v>5.0099999999999999E-2</v>
      </c>
      <c r="C29" s="219">
        <f>+C16</f>
        <v>0.99</v>
      </c>
      <c r="D29" s="209">
        <f>+B29*C29</f>
        <v>4.9598999999999997E-2</v>
      </c>
      <c r="E29" s="209">
        <f>+E16</f>
        <v>4.1419999999999998E-2</v>
      </c>
      <c r="F29" s="210">
        <f>+D29+E29</f>
        <v>9.1018999999999989E-2</v>
      </c>
      <c r="G29" s="12"/>
      <c r="H29" s="12"/>
      <c r="I29" s="12"/>
      <c r="J29" s="12"/>
    </row>
    <row r="30" spans="1:10" ht="15.75">
      <c r="A30" s="208"/>
      <c r="B30" s="222"/>
      <c r="C30" s="219"/>
      <c r="D30" s="209"/>
      <c r="E30" s="209"/>
      <c r="F30" s="210"/>
      <c r="G30" s="12"/>
      <c r="H30" s="12"/>
      <c r="I30" s="12"/>
      <c r="J30" s="12"/>
    </row>
    <row r="31" spans="1:10" ht="15.75">
      <c r="A31" s="208" t="s">
        <v>479</v>
      </c>
      <c r="B31" s="222">
        <v>7.17E-2</v>
      </c>
      <c r="C31" s="219">
        <f>+C16</f>
        <v>0.99</v>
      </c>
      <c r="D31" s="209">
        <f>+B31*C31</f>
        <v>7.0983000000000004E-2</v>
      </c>
      <c r="E31" s="209">
        <f>+E16</f>
        <v>4.1419999999999998E-2</v>
      </c>
      <c r="F31" s="210">
        <f>+D31+E31</f>
        <v>0.112403</v>
      </c>
      <c r="G31" s="12"/>
      <c r="H31" s="12"/>
      <c r="I31" s="12"/>
      <c r="J31" s="12"/>
    </row>
    <row r="32" spans="1:10" ht="15.75">
      <c r="A32" s="208" t="s">
        <v>480</v>
      </c>
      <c r="B32" s="222">
        <v>6.3500000000000001E-2</v>
      </c>
      <c r="C32" s="219">
        <f>+C17</f>
        <v>0.99</v>
      </c>
      <c r="D32" s="209">
        <f>+B32*C32</f>
        <v>6.2865000000000004E-2</v>
      </c>
      <c r="E32" s="209">
        <f>+E17</f>
        <v>4.1419999999999998E-2</v>
      </c>
      <c r="F32" s="210">
        <f>+D32+E32</f>
        <v>0.104285</v>
      </c>
      <c r="G32" s="12"/>
      <c r="H32" s="12"/>
      <c r="I32" s="12"/>
      <c r="J32" s="12"/>
    </row>
    <row r="33" spans="1:10" ht="15.75">
      <c r="A33" s="208" t="s">
        <v>481</v>
      </c>
      <c r="B33" s="222">
        <v>0.06</v>
      </c>
      <c r="C33" s="219">
        <f>+C16</f>
        <v>0.99</v>
      </c>
      <c r="D33" s="209">
        <f>+B33*C33</f>
        <v>5.9399999999999994E-2</v>
      </c>
      <c r="E33" s="209">
        <f>+E16</f>
        <v>4.1419999999999998E-2</v>
      </c>
      <c r="F33" s="210">
        <f>+D33+E33</f>
        <v>0.10081999999999999</v>
      </c>
      <c r="G33" s="12"/>
      <c r="H33" s="12"/>
      <c r="I33" s="12"/>
      <c r="J33" s="12"/>
    </row>
    <row r="34" spans="1:10" ht="15.75">
      <c r="A34" s="208"/>
      <c r="B34" s="222"/>
      <c r="C34" s="219"/>
      <c r="D34" s="209"/>
      <c r="E34" s="209"/>
      <c r="F34" s="210"/>
      <c r="G34" s="12"/>
      <c r="H34" s="12"/>
      <c r="I34" s="12"/>
      <c r="J34" s="12"/>
    </row>
    <row r="35" spans="1:10" ht="15.75">
      <c r="A35" s="208" t="s">
        <v>464</v>
      </c>
      <c r="B35" s="222">
        <v>0.06</v>
      </c>
      <c r="C35" s="219">
        <f>+C16</f>
        <v>0.99</v>
      </c>
      <c r="D35" s="209">
        <f>+B35*C35</f>
        <v>5.9399999999999994E-2</v>
      </c>
      <c r="E35" s="209">
        <f>+E16</f>
        <v>4.1419999999999998E-2</v>
      </c>
      <c r="F35" s="210">
        <f>+D35+E35</f>
        <v>0.10081999999999999</v>
      </c>
      <c r="G35" s="12"/>
      <c r="H35" s="12"/>
      <c r="I35" s="12"/>
      <c r="J35" s="12"/>
    </row>
    <row r="36" spans="1:10" ht="15.75" thickBot="1">
      <c r="A36" s="397"/>
      <c r="B36" s="29"/>
      <c r="C36" s="29"/>
      <c r="D36" s="29"/>
      <c r="E36" s="29"/>
      <c r="F36" s="398"/>
      <c r="G36" s="12"/>
      <c r="H36" s="12"/>
      <c r="I36" s="12"/>
      <c r="J36" s="12"/>
    </row>
    <row r="37" spans="1:10">
      <c r="A37" s="12"/>
      <c r="B37" s="12"/>
      <c r="C37" s="12"/>
      <c r="D37" s="12"/>
      <c r="E37" s="12"/>
      <c r="F37" s="12"/>
      <c r="G37" s="12"/>
      <c r="H37" s="12"/>
      <c r="I37" s="12"/>
      <c r="J37" s="12"/>
    </row>
    <row r="38" spans="1:10" ht="27" customHeight="1" thickBot="1">
      <c r="A38" s="12"/>
      <c r="B38" s="12"/>
      <c r="C38" s="12"/>
      <c r="D38" s="12"/>
      <c r="E38" s="12"/>
      <c r="F38" s="12"/>
      <c r="G38" s="12" t="s">
        <v>0</v>
      </c>
      <c r="H38" s="12"/>
      <c r="I38" s="12"/>
      <c r="J38" s="12"/>
    </row>
    <row r="39" spans="1:10" ht="16.5" thickBot="1">
      <c r="A39" s="170" t="s">
        <v>244</v>
      </c>
      <c r="B39" s="12"/>
      <c r="C39" s="12"/>
      <c r="D39" s="12"/>
      <c r="E39" s="12"/>
      <c r="F39" s="12"/>
      <c r="G39" s="12"/>
      <c r="H39" s="12"/>
      <c r="I39" s="12"/>
      <c r="J39" s="12"/>
    </row>
    <row r="40" spans="1:10" ht="36.75" thickBot="1">
      <c r="A40" s="169" t="s">
        <v>242</v>
      </c>
      <c r="B40" s="168" t="s">
        <v>234</v>
      </c>
      <c r="C40" s="167" t="s">
        <v>246</v>
      </c>
      <c r="D40" s="168" t="s">
        <v>237</v>
      </c>
      <c r="E40" s="168" t="s">
        <v>238</v>
      </c>
      <c r="F40" s="168" t="s">
        <v>442</v>
      </c>
      <c r="G40" s="166" t="s">
        <v>235</v>
      </c>
      <c r="H40" s="12"/>
      <c r="I40" s="12"/>
      <c r="J40" s="12"/>
    </row>
    <row r="41" spans="1:10">
      <c r="A41" s="163"/>
      <c r="B41" s="118"/>
      <c r="C41" s="118"/>
      <c r="D41" s="118"/>
      <c r="E41" s="118"/>
      <c r="F41" s="118"/>
      <c r="G41" s="164"/>
      <c r="H41" s="12"/>
      <c r="I41" s="12"/>
      <c r="J41" s="12"/>
    </row>
    <row r="42" spans="1:10" ht="15.75">
      <c r="A42" s="208" t="s">
        <v>450</v>
      </c>
      <c r="B42" s="222">
        <f>+B16</f>
        <v>3.3799999999999997E-2</v>
      </c>
      <c r="C42" s="218">
        <f>+C16</f>
        <v>0.99</v>
      </c>
      <c r="D42" s="209">
        <f>+B42*C42*0.75</f>
        <v>2.5096500000000001E-2</v>
      </c>
      <c r="E42" s="222">
        <f>+B42*0.25</f>
        <v>8.4499999999999992E-3</v>
      </c>
      <c r="F42" s="209">
        <f>+E16</f>
        <v>4.1419999999999998E-2</v>
      </c>
      <c r="G42" s="210">
        <f>+D42+E42+F42</f>
        <v>7.4966499999999991E-2</v>
      </c>
      <c r="H42" s="12"/>
      <c r="I42" s="12"/>
      <c r="J42" s="12"/>
    </row>
    <row r="43" spans="1:10" ht="15.75">
      <c r="A43" s="208" t="s">
        <v>451</v>
      </c>
      <c r="B43" s="222">
        <f>+B17</f>
        <v>4.6699999999999998E-2</v>
      </c>
      <c r="C43" s="218">
        <f>+C17</f>
        <v>0.99</v>
      </c>
      <c r="D43" s="209">
        <f>+B43*C43*0.75</f>
        <v>3.4674749999999997E-2</v>
      </c>
      <c r="E43" s="222">
        <f>+B43*0.25</f>
        <v>1.1675E-2</v>
      </c>
      <c r="F43" s="209">
        <f>+E17</f>
        <v>4.1419999999999998E-2</v>
      </c>
      <c r="G43" s="210">
        <f>+D43+E43+F43</f>
        <v>8.7769749999999994E-2</v>
      </c>
      <c r="H43" s="12"/>
      <c r="I43" s="12"/>
      <c r="J43" s="12"/>
    </row>
    <row r="44" spans="1:10" ht="15.75">
      <c r="A44" s="211"/>
      <c r="B44" s="112"/>
      <c r="C44" s="112"/>
      <c r="D44" s="112"/>
      <c r="E44" s="112"/>
      <c r="F44" s="112"/>
      <c r="G44" s="212"/>
      <c r="H44" s="12"/>
      <c r="I44" s="12"/>
      <c r="J44" s="12"/>
    </row>
    <row r="45" spans="1:10" ht="15.75">
      <c r="A45" s="208" t="str">
        <f>+A19</f>
        <v>Damodaran Implied ERP Ex Ante   Trailing 12 mo Cash Yield (3)</v>
      </c>
      <c r="B45" s="222">
        <f>+B19</f>
        <v>5.9400000000000001E-2</v>
      </c>
      <c r="C45" s="218">
        <f>+C19</f>
        <v>0.99</v>
      </c>
      <c r="D45" s="209">
        <f>+B45*C45*0.75</f>
        <v>4.4104500000000005E-2</v>
      </c>
      <c r="E45" s="222">
        <f>+B45*0.25</f>
        <v>1.485E-2</v>
      </c>
      <c r="F45" s="209">
        <f>+E19</f>
        <v>4.1419999999999998E-2</v>
      </c>
      <c r="G45" s="210">
        <f>+D45+E45+F45</f>
        <v>0.10037450000000001</v>
      </c>
      <c r="H45" s="12"/>
      <c r="I45" s="12"/>
      <c r="J45" s="12"/>
    </row>
    <row r="46" spans="1:10" ht="15.75">
      <c r="A46" s="208" t="s">
        <v>495</v>
      </c>
      <c r="B46" s="222">
        <f>+B20</f>
        <v>5.8500000000000003E-2</v>
      </c>
      <c r="C46" s="218">
        <f>+C20</f>
        <v>0.99</v>
      </c>
      <c r="D46" s="209">
        <f>+B46*C46*0.75</f>
        <v>4.3436250000000003E-2</v>
      </c>
      <c r="E46" s="222">
        <f>+B46*0.25</f>
        <v>1.4625000000000001E-2</v>
      </c>
      <c r="F46" s="209">
        <f>+E20</f>
        <v>4.1419999999999998E-2</v>
      </c>
      <c r="G46" s="210">
        <f>+D46+E46+F46</f>
        <v>9.9481249999999993E-2</v>
      </c>
      <c r="H46" s="12"/>
      <c r="I46" s="12"/>
      <c r="J46" s="12"/>
    </row>
    <row r="47" spans="1:10" ht="15.75">
      <c r="A47" s="208" t="str">
        <f t="shared" ref="A47:C48" si="0">+A21</f>
        <v>Damodaran Implied ERP Ex Ante   Net Cash Yield (3)</v>
      </c>
      <c r="B47" s="222">
        <f t="shared" si="0"/>
        <v>5.6800000000000003E-2</v>
      </c>
      <c r="C47" s="218">
        <f t="shared" si="0"/>
        <v>0.99</v>
      </c>
      <c r="D47" s="209">
        <f>+B47*C47*0.75</f>
        <v>4.2174000000000003E-2</v>
      </c>
      <c r="E47" s="222">
        <f>+B47*0.25</f>
        <v>1.4200000000000001E-2</v>
      </c>
      <c r="F47" s="209">
        <f>+E21</f>
        <v>4.1419999999999998E-2</v>
      </c>
      <c r="G47" s="210">
        <f>+D47+E47+F47</f>
        <v>9.7794000000000006E-2</v>
      </c>
      <c r="H47" s="12"/>
      <c r="I47" s="12"/>
      <c r="J47" s="12"/>
    </row>
    <row r="48" spans="1:10" ht="15.75">
      <c r="A48" s="208" t="str">
        <f t="shared" si="0"/>
        <v>Damodaran Implied ERP Ex Ante   Norm. Earnings &amp; Payout (3)</v>
      </c>
      <c r="B48" s="222">
        <f t="shared" si="0"/>
        <v>4.8300000000000003E-2</v>
      </c>
      <c r="C48" s="218">
        <f t="shared" si="0"/>
        <v>0.99</v>
      </c>
      <c r="D48" s="209">
        <f>+B48*C48*0.75</f>
        <v>3.5862750000000006E-2</v>
      </c>
      <c r="E48" s="222">
        <f>+B48*0.25</f>
        <v>1.2075000000000001E-2</v>
      </c>
      <c r="F48" s="209">
        <f>+E22</f>
        <v>4.1419999999999998E-2</v>
      </c>
      <c r="G48" s="210">
        <f>+D48+E48+F48</f>
        <v>8.9357750000000014E-2</v>
      </c>
      <c r="H48" s="12"/>
      <c r="I48" s="12"/>
      <c r="J48" s="12"/>
    </row>
    <row r="49" spans="1:10" ht="15.75">
      <c r="A49" s="208" t="s">
        <v>0</v>
      </c>
      <c r="B49" s="222" t="s">
        <v>0</v>
      </c>
      <c r="C49" s="209" t="s">
        <v>0</v>
      </c>
      <c r="D49" s="209" t="s">
        <v>0</v>
      </c>
      <c r="E49" s="222" t="s">
        <v>0</v>
      </c>
      <c r="F49" s="209" t="s">
        <v>0</v>
      </c>
      <c r="G49" s="210" t="s">
        <v>0</v>
      </c>
      <c r="H49" s="12"/>
      <c r="I49" s="12"/>
      <c r="J49" s="12"/>
    </row>
    <row r="50" spans="1:10" ht="15.75">
      <c r="A50" s="208" t="s">
        <v>239</v>
      </c>
      <c r="B50" s="222">
        <f>+B24</f>
        <v>4.6199999999999998E-2</v>
      </c>
      <c r="C50" s="218">
        <f>+C24</f>
        <v>0.99</v>
      </c>
      <c r="D50" s="209">
        <f>+B50*C50*0.75</f>
        <v>3.4303500000000001E-2</v>
      </c>
      <c r="E50" s="222">
        <f>+B50*0.25</f>
        <v>1.155E-2</v>
      </c>
      <c r="F50" s="209">
        <f>+E24</f>
        <v>4.1419999999999998E-2</v>
      </c>
      <c r="G50" s="210">
        <f>+D50+E50+F50</f>
        <v>8.7273500000000004E-2</v>
      </c>
    </row>
    <row r="51" spans="1:10" ht="15.75">
      <c r="A51" s="208" t="s">
        <v>0</v>
      </c>
      <c r="B51" s="222" t="s">
        <v>0</v>
      </c>
      <c r="C51" s="209" t="s">
        <v>0</v>
      </c>
      <c r="D51" s="209" t="s">
        <v>0</v>
      </c>
      <c r="E51" s="222" t="s">
        <v>0</v>
      </c>
      <c r="F51" s="209" t="s">
        <v>0</v>
      </c>
      <c r="G51" s="210" t="s">
        <v>0</v>
      </c>
    </row>
    <row r="52" spans="1:10" ht="15.75">
      <c r="A52" s="208" t="s">
        <v>494</v>
      </c>
      <c r="B52" s="222">
        <f>+B26</f>
        <v>5.6000000000000001E-2</v>
      </c>
      <c r="C52" s="218">
        <f>+C26</f>
        <v>0.99</v>
      </c>
      <c r="D52" s="209">
        <f>+B52*C52*0.75</f>
        <v>4.1580000000000006E-2</v>
      </c>
      <c r="E52" s="222">
        <f>+B52*0.25</f>
        <v>1.4E-2</v>
      </c>
      <c r="F52" s="209">
        <f>+E26</f>
        <v>4.1419999999999998E-2</v>
      </c>
      <c r="G52" s="210">
        <f>+D52+E52+F52</f>
        <v>9.7000000000000003E-2</v>
      </c>
    </row>
    <row r="53" spans="1:10" ht="15.75">
      <c r="A53" s="208" t="s">
        <v>0</v>
      </c>
      <c r="B53" s="222" t="s">
        <v>0</v>
      </c>
      <c r="C53" s="209" t="s">
        <v>0</v>
      </c>
      <c r="D53" s="209" t="s">
        <v>0</v>
      </c>
      <c r="E53" s="222" t="s">
        <v>0</v>
      </c>
      <c r="F53" s="209" t="s">
        <v>0</v>
      </c>
      <c r="G53" s="210" t="s">
        <v>0</v>
      </c>
    </row>
    <row r="54" spans="1:10" ht="15.75">
      <c r="A54" s="208" t="s">
        <v>240</v>
      </c>
      <c r="B54" s="222">
        <f>+B28</f>
        <v>6.2799999999999995E-2</v>
      </c>
      <c r="C54" s="218">
        <f>+C28</f>
        <v>0.99</v>
      </c>
      <c r="D54" s="209">
        <f>+B54*C54*0.75</f>
        <v>4.662899999999999E-2</v>
      </c>
      <c r="E54" s="222">
        <f>+B54*0.25</f>
        <v>1.5699999999999999E-2</v>
      </c>
      <c r="F54" s="209">
        <f>+E28</f>
        <v>4.1419999999999998E-2</v>
      </c>
      <c r="G54" s="210">
        <f>+D54+E54+F54</f>
        <v>0.10374899999999998</v>
      </c>
    </row>
    <row r="55" spans="1:10" ht="15.75">
      <c r="A55" s="208" t="s">
        <v>241</v>
      </c>
      <c r="B55" s="222">
        <f>+B29</f>
        <v>5.0099999999999999E-2</v>
      </c>
      <c r="C55" s="218">
        <f>+C29</f>
        <v>0.99</v>
      </c>
      <c r="D55" s="209">
        <f>+B55*C55*0.75</f>
        <v>3.7199249999999996E-2</v>
      </c>
      <c r="E55" s="222">
        <f>+B55*0.25</f>
        <v>1.2525E-2</v>
      </c>
      <c r="F55" s="209">
        <f>+E29</f>
        <v>4.1419999999999998E-2</v>
      </c>
      <c r="G55" s="210">
        <f>+D55+E55+F55</f>
        <v>9.1144249999999996E-2</v>
      </c>
    </row>
    <row r="56" spans="1:10" ht="15.75">
      <c r="A56" s="208"/>
      <c r="B56" s="222"/>
      <c r="C56" s="218"/>
      <c r="D56" s="209"/>
      <c r="E56" s="222"/>
      <c r="F56" s="209"/>
      <c r="G56" s="210"/>
    </row>
    <row r="57" spans="1:10" ht="15.75">
      <c r="A57" s="208" t="s">
        <v>479</v>
      </c>
      <c r="B57" s="222">
        <f t="shared" ref="B57:C59" si="1">+B31</f>
        <v>7.17E-2</v>
      </c>
      <c r="C57" s="218">
        <f t="shared" si="1"/>
        <v>0.99</v>
      </c>
      <c r="D57" s="209">
        <f>+B57*C57*0.75</f>
        <v>5.323725E-2</v>
      </c>
      <c r="E57" s="222">
        <f>+B57*0.25</f>
        <v>1.7925E-2</v>
      </c>
      <c r="F57" s="209">
        <f>+E31</f>
        <v>4.1419999999999998E-2</v>
      </c>
      <c r="G57" s="210">
        <f>+D57+E57+F57</f>
        <v>0.11258224999999999</v>
      </c>
    </row>
    <row r="58" spans="1:10" ht="15.75">
      <c r="A58" s="208" t="s">
        <v>480</v>
      </c>
      <c r="B58" s="222">
        <f t="shared" si="1"/>
        <v>6.3500000000000001E-2</v>
      </c>
      <c r="C58" s="218">
        <f t="shared" si="1"/>
        <v>0.99</v>
      </c>
      <c r="D58" s="209">
        <f>+B58*C58*0.75</f>
        <v>4.7148750000000003E-2</v>
      </c>
      <c r="E58" s="222">
        <f>+B58*0.25</f>
        <v>1.5875E-2</v>
      </c>
      <c r="F58" s="209">
        <f>+E32</f>
        <v>4.1419999999999998E-2</v>
      </c>
      <c r="G58" s="210">
        <f>+D58+E58+F58</f>
        <v>0.10444375</v>
      </c>
    </row>
    <row r="59" spans="1:10" ht="15.75">
      <c r="A59" s="208" t="s">
        <v>481</v>
      </c>
      <c r="B59" s="222">
        <f t="shared" si="1"/>
        <v>0.06</v>
      </c>
      <c r="C59" s="218">
        <f t="shared" si="1"/>
        <v>0.99</v>
      </c>
      <c r="D59" s="209">
        <f>+B59*C59*0.75</f>
        <v>4.4549999999999992E-2</v>
      </c>
      <c r="E59" s="222">
        <f>+B59*0.25</f>
        <v>1.4999999999999999E-2</v>
      </c>
      <c r="F59" s="209">
        <f>+E33</f>
        <v>4.1419999999999998E-2</v>
      </c>
      <c r="G59" s="210">
        <f>+D59+E59+F59</f>
        <v>0.10096999999999999</v>
      </c>
    </row>
    <row r="60" spans="1:10" ht="15.75">
      <c r="A60" s="208"/>
      <c r="B60" s="222"/>
      <c r="C60" s="218"/>
      <c r="D60" s="209"/>
      <c r="E60" s="222"/>
      <c r="F60" s="209"/>
      <c r="G60" s="210"/>
    </row>
    <row r="61" spans="1:10" ht="15.75">
      <c r="A61" s="208" t="s">
        <v>464</v>
      </c>
      <c r="B61" s="222">
        <f>+B35</f>
        <v>0.06</v>
      </c>
      <c r="C61" s="218">
        <f>+C33</f>
        <v>0.99</v>
      </c>
      <c r="D61" s="209">
        <f>+B61*C61*0.75</f>
        <v>4.4549999999999992E-2</v>
      </c>
      <c r="E61" s="222">
        <f>+B61*0.25</f>
        <v>1.4999999999999999E-2</v>
      </c>
      <c r="F61" s="209">
        <f>+E35</f>
        <v>4.1419999999999998E-2</v>
      </c>
      <c r="G61" s="210">
        <f>+D61+E61+F61</f>
        <v>0.10096999999999999</v>
      </c>
    </row>
    <row r="62" spans="1:10" ht="15.75" thickBot="1">
      <c r="A62" s="399"/>
      <c r="B62" s="161"/>
      <c r="C62" s="161"/>
      <c r="D62" s="161"/>
      <c r="E62" s="161"/>
      <c r="F62" s="161"/>
      <c r="G62" s="400"/>
    </row>
    <row r="64" spans="1:10" ht="15.75">
      <c r="A64" s="64" t="s">
        <v>86</v>
      </c>
      <c r="E64" s="221" t="s">
        <v>0</v>
      </c>
    </row>
    <row r="65" spans="1:7">
      <c r="A65" s="171" t="s">
        <v>0</v>
      </c>
      <c r="E65" s="221" t="s">
        <v>0</v>
      </c>
    </row>
    <row r="66" spans="1:7">
      <c r="A66" s="44" t="s">
        <v>465</v>
      </c>
      <c r="B66" s="12"/>
      <c r="C66" s="12"/>
      <c r="D66" s="12"/>
      <c r="E66" s="12"/>
      <c r="F66" s="12"/>
      <c r="G66" s="12"/>
    </row>
    <row r="67" spans="1:7">
      <c r="A67" s="44" t="s">
        <v>0</v>
      </c>
      <c r="B67" s="12"/>
      <c r="C67" s="12"/>
      <c r="D67" s="12"/>
      <c r="E67" s="12"/>
      <c r="F67" s="12"/>
      <c r="G67" s="12"/>
    </row>
    <row r="68" spans="1:7">
      <c r="A68" s="44" t="s">
        <v>466</v>
      </c>
      <c r="B68" s="12"/>
      <c r="C68" s="12"/>
      <c r="D68" s="12"/>
      <c r="E68" s="12"/>
      <c r="F68" s="12"/>
      <c r="G68" s="12"/>
    </row>
    <row r="69" spans="1:7">
      <c r="A69" s="158" t="s">
        <v>467</v>
      </c>
      <c r="C69" s="12"/>
      <c r="D69" s="12"/>
      <c r="E69" s="12"/>
      <c r="F69" s="12"/>
      <c r="G69" s="12"/>
    </row>
    <row r="70" spans="1:7">
      <c r="A70" s="44" t="s">
        <v>0</v>
      </c>
      <c r="B70" s="12"/>
      <c r="C70" s="12"/>
      <c r="D70" s="12"/>
      <c r="E70" s="12"/>
      <c r="F70" s="12"/>
      <c r="G70" s="12"/>
    </row>
    <row r="71" spans="1:7">
      <c r="A71" s="44" t="s">
        <v>497</v>
      </c>
      <c r="B71" s="12"/>
      <c r="C71" s="12"/>
      <c r="D71" s="12"/>
      <c r="E71" s="12"/>
      <c r="F71" s="12"/>
      <c r="G71" s="12"/>
    </row>
    <row r="72" spans="1:7">
      <c r="A72" s="158" t="s">
        <v>468</v>
      </c>
      <c r="B72" s="12"/>
      <c r="C72" s="12"/>
      <c r="D72" s="12"/>
      <c r="E72" s="12"/>
      <c r="F72" s="12"/>
      <c r="G72" s="12"/>
    </row>
    <row r="73" spans="1:7">
      <c r="A73" s="44"/>
      <c r="B73" s="12"/>
      <c r="C73" s="12"/>
      <c r="D73" s="12"/>
      <c r="E73" s="12"/>
      <c r="F73" s="12"/>
      <c r="G73" s="12"/>
    </row>
    <row r="74" spans="1:7">
      <c r="A74" s="44" t="s">
        <v>496</v>
      </c>
      <c r="B74" s="12"/>
      <c r="C74" s="12"/>
      <c r="D74" s="12"/>
      <c r="E74" s="12"/>
      <c r="F74" s="12"/>
      <c r="G74" s="12"/>
    </row>
    <row r="75" spans="1:7">
      <c r="A75" s="158" t="s">
        <v>469</v>
      </c>
      <c r="B75" s="12"/>
      <c r="C75" s="12"/>
      <c r="D75" s="12"/>
      <c r="E75" s="12"/>
      <c r="F75" s="12"/>
      <c r="G75" s="12"/>
    </row>
    <row r="76" spans="1:7">
      <c r="A76" s="44"/>
      <c r="B76" s="12"/>
      <c r="C76" s="12"/>
      <c r="D76" s="12"/>
      <c r="E76" s="12"/>
      <c r="F76" s="12"/>
      <c r="G76" s="12"/>
    </row>
    <row r="77" spans="1:7">
      <c r="A77" s="44" t="s">
        <v>393</v>
      </c>
      <c r="B77" s="12"/>
      <c r="C77" s="12"/>
      <c r="D77" s="12"/>
      <c r="E77" s="12"/>
      <c r="F77" s="12"/>
      <c r="G77" s="12"/>
    </row>
    <row r="78" spans="1:7">
      <c r="A78" s="158" t="s">
        <v>470</v>
      </c>
      <c r="B78" s="12"/>
      <c r="C78" s="12"/>
      <c r="D78" s="12"/>
      <c r="E78" s="12"/>
      <c r="F78" s="12"/>
      <c r="G78" s="12"/>
    </row>
    <row r="79" spans="1:7">
      <c r="A79" s="171"/>
    </row>
    <row r="80" spans="1:7">
      <c r="A80" s="44" t="s">
        <v>456</v>
      </c>
    </row>
    <row r="81" spans="1:7">
      <c r="A81" s="44" t="s">
        <v>0</v>
      </c>
    </row>
    <row r="82" spans="1:7">
      <c r="A82" s="44" t="s">
        <v>471</v>
      </c>
    </row>
    <row r="83" spans="1:7">
      <c r="A83" s="158" t="s">
        <v>472</v>
      </c>
    </row>
    <row r="84" spans="1:7" ht="18.75" thickBot="1">
      <c r="A84" s="162"/>
      <c r="B84" s="162"/>
      <c r="C84" s="162"/>
      <c r="D84" s="29"/>
      <c r="E84" s="37"/>
      <c r="F84" s="29"/>
      <c r="G84" s="161"/>
    </row>
  </sheetData>
  <hyperlinks>
    <hyperlink ref="A83" r:id="rId1" xr:uid="{501D28A0-E84D-4F24-960A-B8CE5FDCBFC8}"/>
    <hyperlink ref="A75" r:id="rId2" xr:uid="{E7A0312E-CF5D-452F-8D94-0C493FE3560A}"/>
    <hyperlink ref="A78" r:id="rId3" xr:uid="{05598A8C-F3D0-4895-9DAA-7F4083665DFC}"/>
    <hyperlink ref="A72" r:id="rId4" xr:uid="{CDCBB510-7066-413F-8A04-A0F1368B417A}"/>
    <hyperlink ref="A69" r:id="rId5" xr:uid="{DB4EB715-D1C4-4773-B223-C6EADE9A6A45}"/>
  </hyperlinks>
  <pageMargins left="0.25" right="0.25" top="0.75" bottom="0.75" header="0.3" footer="0.3"/>
  <pageSetup scale="40" orientation="portrait"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EAA8-BBA3-479C-8851-708BD7E9A4CD}">
  <sheetPr>
    <tabColor rgb="FF92D050"/>
  </sheetPr>
  <dimension ref="A1:K46"/>
  <sheetViews>
    <sheetView view="pageBreakPreview" zoomScale="70" zoomScaleNormal="80" zoomScaleSheetLayoutView="70" workbookViewId="0">
      <selection activeCell="J6" sqref="J6"/>
    </sheetView>
  </sheetViews>
  <sheetFormatPr defaultRowHeight="15"/>
  <cols>
    <col min="1" max="1" width="47.42578125" customWidth="1"/>
    <col min="2" max="2" width="10.85546875" bestFit="1" customWidth="1"/>
    <col min="3" max="3" width="19.140625" bestFit="1" customWidth="1"/>
    <col min="4" max="4" width="15.28515625" customWidth="1"/>
    <col min="5" max="5" width="27.140625" customWidth="1"/>
    <col min="6" max="6" width="22" customWidth="1"/>
    <col min="7" max="7" width="29.28515625" customWidth="1"/>
    <col min="8" max="8" width="37" customWidth="1"/>
    <col min="9" max="9" width="24.5703125" customWidth="1"/>
    <col min="10" max="10" width="24.140625" customWidth="1"/>
    <col min="12" max="12" width="10.5703125" customWidth="1"/>
  </cols>
  <sheetData>
    <row r="1" spans="1:11" ht="20.25">
      <c r="A1" s="24" t="s">
        <v>1</v>
      </c>
      <c r="B1" s="12"/>
      <c r="C1" s="12"/>
      <c r="D1" s="12"/>
      <c r="E1" s="12"/>
      <c r="F1" s="12"/>
      <c r="G1" s="12"/>
      <c r="H1" s="12"/>
      <c r="I1" s="12"/>
      <c r="J1" s="12"/>
      <c r="K1" s="12"/>
    </row>
    <row r="2" spans="1:11" ht="15.75">
      <c r="A2" s="25" t="s">
        <v>9</v>
      </c>
      <c r="B2" s="12"/>
      <c r="C2" s="12"/>
      <c r="D2" s="12"/>
      <c r="E2" s="12"/>
      <c r="F2" s="12"/>
      <c r="G2" s="12"/>
      <c r="H2" s="12"/>
      <c r="I2" s="12"/>
      <c r="J2" s="12"/>
      <c r="K2" s="12"/>
    </row>
    <row r="3" spans="1:11">
      <c r="A3" s="26" t="s">
        <v>76</v>
      </c>
      <c r="B3" s="12"/>
      <c r="C3" s="12"/>
      <c r="D3" s="12"/>
      <c r="E3" s="12"/>
      <c r="F3" s="12"/>
      <c r="G3" s="12"/>
      <c r="H3" s="12"/>
      <c r="I3" s="12"/>
      <c r="J3" s="12"/>
      <c r="K3" s="12"/>
    </row>
    <row r="4" spans="1:11">
      <c r="A4" s="26"/>
      <c r="B4" s="12"/>
      <c r="C4" s="12"/>
      <c r="D4" s="12"/>
      <c r="E4" s="12"/>
      <c r="F4" s="12"/>
      <c r="G4" s="12"/>
      <c r="H4" s="12"/>
      <c r="I4" s="12"/>
      <c r="J4" s="12"/>
      <c r="K4" s="12"/>
    </row>
    <row r="5" spans="1:11" ht="15.75" thickBot="1">
      <c r="A5" s="12"/>
      <c r="B5" s="12"/>
      <c r="C5" s="12"/>
      <c r="D5" s="12"/>
      <c r="E5" s="12"/>
      <c r="F5" s="12"/>
      <c r="G5" s="12"/>
      <c r="H5" s="27"/>
      <c r="I5" s="12"/>
      <c r="J5" s="12"/>
      <c r="K5" s="12"/>
    </row>
    <row r="6" spans="1:11" ht="16.5" thickBot="1">
      <c r="A6" s="281" t="str">
        <f>+'S&amp;D'!A12</f>
        <v>Electric Wholesale (non-regulated) Power Generator</v>
      </c>
      <c r="B6" s="207"/>
      <c r="C6" s="12"/>
      <c r="D6" s="29"/>
      <c r="E6" s="29"/>
      <c r="F6" s="29"/>
      <c r="G6" s="30" t="s">
        <v>0</v>
      </c>
      <c r="H6" s="29"/>
      <c r="I6" s="12"/>
      <c r="J6" s="12"/>
      <c r="K6" s="12"/>
    </row>
    <row r="7" spans="1:11" ht="20.25">
      <c r="A7" s="31"/>
      <c r="B7" s="12"/>
      <c r="C7" s="12"/>
      <c r="D7" s="12"/>
      <c r="E7" s="12"/>
      <c r="F7" s="32" t="s">
        <v>443</v>
      </c>
      <c r="G7" s="12"/>
      <c r="H7" s="12"/>
      <c r="I7" s="12"/>
      <c r="J7" s="12"/>
      <c r="K7" s="12"/>
    </row>
    <row r="8" spans="1:11" ht="18.75" thickBot="1">
      <c r="A8" s="31"/>
      <c r="B8" s="12"/>
      <c r="C8" s="12"/>
      <c r="D8" s="29"/>
      <c r="E8" s="29"/>
      <c r="F8" s="33" t="s">
        <v>90</v>
      </c>
      <c r="G8" s="29"/>
      <c r="H8" s="29"/>
      <c r="I8" s="12"/>
      <c r="J8" s="12"/>
      <c r="K8" s="12"/>
    </row>
    <row r="9" spans="1:11" ht="15.75" thickBot="1">
      <c r="A9" s="34" t="s">
        <v>0</v>
      </c>
      <c r="B9" s="34" t="s">
        <v>0</v>
      </c>
      <c r="C9" s="34" t="s">
        <v>0</v>
      </c>
      <c r="D9" s="29"/>
      <c r="E9" s="34"/>
      <c r="F9" s="34" t="s">
        <v>0</v>
      </c>
      <c r="G9" s="34"/>
      <c r="H9" s="29"/>
      <c r="I9" s="29"/>
      <c r="J9" s="29"/>
      <c r="K9" s="12"/>
    </row>
    <row r="10" spans="1:11">
      <c r="A10" s="35" t="s">
        <v>0</v>
      </c>
      <c r="B10" s="35" t="s">
        <v>3</v>
      </c>
      <c r="C10" s="35" t="s">
        <v>5</v>
      </c>
      <c r="D10" s="35" t="s">
        <v>182</v>
      </c>
      <c r="E10" s="35" t="s">
        <v>12</v>
      </c>
      <c r="F10" s="35" t="s">
        <v>194</v>
      </c>
      <c r="G10" s="35" t="s">
        <v>195</v>
      </c>
      <c r="H10" s="35" t="s">
        <v>195</v>
      </c>
      <c r="I10" s="35" t="s">
        <v>191</v>
      </c>
      <c r="J10" s="35" t="s">
        <v>191</v>
      </c>
      <c r="K10" s="12"/>
    </row>
    <row r="11" spans="1:11">
      <c r="A11" s="35" t="s">
        <v>2</v>
      </c>
      <c r="B11" s="35" t="s">
        <v>4</v>
      </c>
      <c r="C11" s="35" t="s">
        <v>6</v>
      </c>
      <c r="D11" s="35" t="s">
        <v>224</v>
      </c>
      <c r="E11" s="35" t="s">
        <v>14</v>
      </c>
      <c r="F11" s="35" t="s">
        <v>396</v>
      </c>
      <c r="G11" s="35" t="s">
        <v>225</v>
      </c>
      <c r="H11" s="35" t="s">
        <v>226</v>
      </c>
      <c r="I11" s="35" t="s">
        <v>185</v>
      </c>
      <c r="J11" s="35" t="s">
        <v>189</v>
      </c>
      <c r="K11" s="12"/>
    </row>
    <row r="12" spans="1:11">
      <c r="A12" s="35"/>
      <c r="B12" s="35"/>
      <c r="C12" s="35"/>
      <c r="D12" s="35"/>
      <c r="E12" s="35"/>
      <c r="F12" s="36" t="s">
        <v>0</v>
      </c>
      <c r="G12" s="36" t="s">
        <v>397</v>
      </c>
      <c r="H12" s="36" t="s">
        <v>397</v>
      </c>
      <c r="I12" s="35"/>
      <c r="J12" s="35"/>
      <c r="K12" s="12"/>
    </row>
    <row r="13" spans="1:11" ht="15.75" thickBot="1">
      <c r="A13" s="37" t="s">
        <v>0</v>
      </c>
      <c r="B13" s="38" t="s">
        <v>105</v>
      </c>
      <c r="C13" s="38" t="s">
        <v>106</v>
      </c>
      <c r="D13" s="38" t="s">
        <v>107</v>
      </c>
      <c r="E13" s="38" t="s">
        <v>108</v>
      </c>
      <c r="F13" s="38" t="s">
        <v>109</v>
      </c>
      <c r="G13" s="38" t="s">
        <v>110</v>
      </c>
      <c r="H13" s="38" t="s">
        <v>111</v>
      </c>
      <c r="I13" s="38" t="s">
        <v>192</v>
      </c>
      <c r="J13" s="38" t="s">
        <v>193</v>
      </c>
      <c r="K13" s="12"/>
    </row>
    <row r="14" spans="1:11">
      <c r="A14" s="39" t="s">
        <v>7</v>
      </c>
      <c r="B14" s="39" t="s">
        <v>7</v>
      </c>
      <c r="C14" s="39" t="s">
        <v>7</v>
      </c>
      <c r="D14" s="40" t="s">
        <v>129</v>
      </c>
      <c r="E14" s="40"/>
      <c r="F14" s="39" t="s">
        <v>7</v>
      </c>
      <c r="G14" s="39" t="s">
        <v>7</v>
      </c>
      <c r="H14" s="39" t="s">
        <v>7</v>
      </c>
      <c r="I14" s="39" t="s">
        <v>0</v>
      </c>
      <c r="J14" s="39" t="s">
        <v>0</v>
      </c>
      <c r="K14" s="12"/>
    </row>
    <row r="15" spans="1:11">
      <c r="A15" s="35"/>
      <c r="B15" s="35"/>
      <c r="C15" s="35"/>
      <c r="D15" s="35"/>
      <c r="E15" s="35"/>
      <c r="F15" s="35"/>
      <c r="G15" s="35"/>
      <c r="H15" s="12"/>
      <c r="I15" s="12"/>
      <c r="J15" s="12"/>
      <c r="K15" s="12"/>
    </row>
    <row r="16" spans="1:11">
      <c r="A16" s="12"/>
      <c r="B16" s="12"/>
      <c r="C16" s="12"/>
      <c r="D16" s="12"/>
      <c r="E16" s="12"/>
      <c r="F16" s="12"/>
      <c r="G16" s="12"/>
      <c r="H16" s="12"/>
      <c r="I16" s="12"/>
      <c r="J16" s="12"/>
      <c r="K16" s="12"/>
    </row>
    <row r="17" spans="1:11" ht="15.75">
      <c r="A17" s="44" t="str">
        <f>+'S&amp;D'!A22</f>
        <v>AES CORPORATION</v>
      </c>
      <c r="B17" s="35" t="str">
        <f>+'S&amp;D'!B22</f>
        <v>AES</v>
      </c>
      <c r="C17" s="35" t="str">
        <f>+'S&amp;D'!C22</f>
        <v>Power Wholesale</v>
      </c>
      <c r="D17" s="61">
        <f>+'S&amp;D'!G22</f>
        <v>28.76</v>
      </c>
      <c r="E17" s="62">
        <f>+'S&amp;D'!D38</f>
        <v>19233062024.639999</v>
      </c>
      <c r="F17" s="55">
        <f>+'Dividends '!H16</f>
        <v>2.294853963838665E-2</v>
      </c>
      <c r="G17" s="55">
        <v>5.5E-2</v>
      </c>
      <c r="H17" s="344">
        <v>0</v>
      </c>
      <c r="I17" s="407">
        <f>+F17+G17</f>
        <v>7.7948539638386646E-2</v>
      </c>
      <c r="J17" s="408" t="s">
        <v>439</v>
      </c>
      <c r="K17" s="12"/>
    </row>
    <row r="18" spans="1:11" ht="15.75">
      <c r="A18" s="44" t="str">
        <f>+'S&amp;D'!A23</f>
        <v>DOMINION ENERGY INC</v>
      </c>
      <c r="B18" s="35" t="str">
        <f>+'S&amp;D'!B23</f>
        <v>D</v>
      </c>
      <c r="C18" s="35" t="str">
        <f>+'S&amp;D'!C23</f>
        <v>Power Wholesale</v>
      </c>
      <c r="D18" s="61">
        <f>+'S&amp;D'!G23</f>
        <v>61.32</v>
      </c>
      <c r="E18" s="62">
        <f>+'S&amp;D'!D39</f>
        <v>51202200000</v>
      </c>
      <c r="F18" s="55">
        <f>+'Dividends '!H17</f>
        <v>4.4846705805609913E-2</v>
      </c>
      <c r="G18" s="55">
        <v>5.0000000000000001E-3</v>
      </c>
      <c r="H18" s="55">
        <v>0.04</v>
      </c>
      <c r="I18" s="407">
        <f t="shared" ref="I18:I23" si="0">+F18+G18</f>
        <v>4.984670580560991E-2</v>
      </c>
      <c r="J18" s="407">
        <f t="shared" ref="J18:J21" si="1">+F18+H18</f>
        <v>8.4846705805609907E-2</v>
      </c>
      <c r="K18" s="12"/>
    </row>
    <row r="19" spans="1:11" ht="15.75">
      <c r="A19" s="44" t="str">
        <f>+'S&amp;D'!A24</f>
        <v>EXELON CORPORATION</v>
      </c>
      <c r="B19" s="35" t="str">
        <f>+'S&amp;D'!B24</f>
        <v>EXC</v>
      </c>
      <c r="C19" s="35" t="str">
        <f>+'S&amp;D'!C24</f>
        <v>Power Wholesale</v>
      </c>
      <c r="D19" s="61">
        <f>+'S&amp;D'!G24</f>
        <v>43.23</v>
      </c>
      <c r="E19" s="62">
        <f>+'S&amp;D'!D40</f>
        <v>42970620000</v>
      </c>
      <c r="F19" s="55">
        <f>+'Dividends '!H18</f>
        <v>3.3541522091140412E-2</v>
      </c>
      <c r="G19" s="344" t="s">
        <v>438</v>
      </c>
      <c r="H19" s="344" t="s">
        <v>438</v>
      </c>
      <c r="I19" s="408" t="s">
        <v>439</v>
      </c>
      <c r="J19" s="408" t="s">
        <v>439</v>
      </c>
      <c r="K19" s="12"/>
    </row>
    <row r="20" spans="1:11" ht="15.75">
      <c r="A20" s="44" t="str">
        <f>+'S&amp;D'!A25</f>
        <v>NEXTERA ENERGY INC</v>
      </c>
      <c r="B20" s="35" t="str">
        <f>+'S&amp;D'!B25</f>
        <v>NEE</v>
      </c>
      <c r="C20" s="35" t="str">
        <f>+'S&amp;D'!C25</f>
        <v>Power Wholesale</v>
      </c>
      <c r="D20" s="61">
        <f>+'S&amp;D'!G25</f>
        <v>83.6</v>
      </c>
      <c r="E20" s="62">
        <f>+'S&amp;D'!D41</f>
        <v>166154607581.59998</v>
      </c>
      <c r="F20" s="55">
        <f>+'Dividends '!H19</f>
        <v>2.2368421052631583E-2</v>
      </c>
      <c r="G20" s="55">
        <v>0.1</v>
      </c>
      <c r="H20" s="55">
        <v>0.1</v>
      </c>
      <c r="I20" s="407">
        <f t="shared" ref="I20" si="2">+F20+G20</f>
        <v>0.12236842105263158</v>
      </c>
      <c r="J20" s="407">
        <f t="shared" ref="J20" si="3">+F20+H20</f>
        <v>0.12236842105263158</v>
      </c>
      <c r="K20" s="12"/>
    </row>
    <row r="21" spans="1:11" ht="15.75">
      <c r="A21" s="44" t="str">
        <f>+'S&amp;D'!A26</f>
        <v>NRG ENERGY</v>
      </c>
      <c r="B21" s="35" t="str">
        <f>+'S&amp;D'!B26</f>
        <v>NRG</v>
      </c>
      <c r="C21" s="35" t="str">
        <f>+'S&amp;D'!C26</f>
        <v>Power Wholesale</v>
      </c>
      <c r="D21" s="61">
        <f>+'S&amp;D'!G26</f>
        <v>31.82</v>
      </c>
      <c r="E21" s="62">
        <f>+'S&amp;D'!D42</f>
        <v>7304631974.6000004</v>
      </c>
      <c r="F21" s="55">
        <f>+'Dividends '!H20</f>
        <v>4.7454431175361411E-2</v>
      </c>
      <c r="G21" s="55">
        <v>0.05</v>
      </c>
      <c r="H21" s="55">
        <v>-2.5000000000000001E-2</v>
      </c>
      <c r="I21" s="407">
        <f t="shared" si="0"/>
        <v>9.7454431175361414E-2</v>
      </c>
      <c r="J21" s="408">
        <f t="shared" si="1"/>
        <v>2.245443117536141E-2</v>
      </c>
      <c r="K21" s="12"/>
    </row>
    <row r="22" spans="1:11" ht="15.75">
      <c r="A22" s="44" t="str">
        <f>+'S&amp;D'!A27</f>
        <v>SOUTHERN COMPANY</v>
      </c>
      <c r="B22" s="35" t="str">
        <f>+'S&amp;D'!B27</f>
        <v>SO</v>
      </c>
      <c r="C22" s="35" t="str">
        <f>+'S&amp;D'!C27</f>
        <v>Power Wholesale</v>
      </c>
      <c r="D22" s="61">
        <f>+'S&amp;D'!G27</f>
        <v>71.41</v>
      </c>
      <c r="E22" s="62">
        <f>+'S&amp;D'!D43</f>
        <v>77765490000</v>
      </c>
      <c r="F22" s="55">
        <f>+'Dividends '!H21</f>
        <v>3.8930121831676233E-2</v>
      </c>
      <c r="G22" s="55">
        <v>3.5000000000000003E-2</v>
      </c>
      <c r="H22" s="55">
        <v>6.5000000000000002E-2</v>
      </c>
      <c r="I22" s="407">
        <f>+F22+G22</f>
        <v>7.3930121831676243E-2</v>
      </c>
      <c r="J22" s="407">
        <f>+F22+H22</f>
        <v>0.10393012183167624</v>
      </c>
      <c r="K22" s="12"/>
    </row>
    <row r="23" spans="1:11" ht="16.5" thickBot="1">
      <c r="A23" s="44" t="str">
        <f>+'S&amp;D'!A28</f>
        <v>VISTRA ENERGY CORPORATION</v>
      </c>
      <c r="B23" s="35" t="str">
        <f>+'S&amp;D'!B28</f>
        <v>VST</v>
      </c>
      <c r="C23" s="35" t="str">
        <f>+'S&amp;D'!C28</f>
        <v>Power Wholesale</v>
      </c>
      <c r="D23" s="61">
        <f>+'S&amp;D'!G28</f>
        <v>23.2</v>
      </c>
      <c r="E23" s="62">
        <f>+'S&amp;D'!D44</f>
        <v>9042312984</v>
      </c>
      <c r="F23" s="409">
        <f>+'Dividends '!H22</f>
        <v>3.1034482758620689E-2</v>
      </c>
      <c r="G23" s="409">
        <v>0.1</v>
      </c>
      <c r="H23" s="410" t="s">
        <v>438</v>
      </c>
      <c r="I23" s="411">
        <f t="shared" si="0"/>
        <v>0.1310344827586207</v>
      </c>
      <c r="J23" s="412" t="s">
        <v>439</v>
      </c>
      <c r="K23" s="12"/>
    </row>
    <row r="24" spans="1:11" ht="15.75" thickTop="1">
      <c r="A24" s="12"/>
      <c r="B24" s="12"/>
      <c r="C24" s="14" t="s">
        <v>0</v>
      </c>
      <c r="D24" s="15" t="s">
        <v>0</v>
      </c>
      <c r="E24" s="15" t="s">
        <v>53</v>
      </c>
      <c r="F24" s="16">
        <v>4.75</v>
      </c>
      <c r="G24" s="312">
        <v>10</v>
      </c>
      <c r="H24" s="16">
        <v>6.5</v>
      </c>
      <c r="I24" s="16">
        <v>13.1</v>
      </c>
      <c r="J24" s="16">
        <v>10.39</v>
      </c>
      <c r="K24" s="12"/>
    </row>
    <row r="25" spans="1:11">
      <c r="A25" s="12"/>
      <c r="B25" s="12"/>
      <c r="C25" s="14"/>
      <c r="D25" s="15"/>
      <c r="E25" s="15" t="s">
        <v>54</v>
      </c>
      <c r="F25" s="358">
        <v>2.29</v>
      </c>
      <c r="G25" s="359">
        <v>0.5</v>
      </c>
      <c r="H25" s="358">
        <v>-2.5</v>
      </c>
      <c r="I25" s="358">
        <v>4.9800000000000004</v>
      </c>
      <c r="J25" s="358">
        <v>2.25</v>
      </c>
      <c r="K25" s="12"/>
    </row>
    <row r="26" spans="1:11">
      <c r="A26" s="12"/>
      <c r="B26" s="12"/>
      <c r="D26" s="17" t="s">
        <v>0</v>
      </c>
      <c r="E26" s="14" t="s">
        <v>18</v>
      </c>
      <c r="F26" s="57">
        <f>MEDIAN(F17:F23)</f>
        <v>3.3541522091140412E-2</v>
      </c>
      <c r="G26" s="51">
        <f>MEDIAN(G17:G23)</f>
        <v>5.2500000000000005E-2</v>
      </c>
      <c r="H26" s="51">
        <f>MEDIAN(H17:H23)</f>
        <v>0.04</v>
      </c>
      <c r="I26" s="52">
        <f>MEDIAN(I17:I23)</f>
        <v>8.770148540687403E-2</v>
      </c>
      <c r="J26" s="52">
        <f>MEDIAN(J17:J23)</f>
        <v>9.4388413818643074E-2</v>
      </c>
      <c r="K26" s="12"/>
    </row>
    <row r="27" spans="1:11">
      <c r="A27" s="12"/>
      <c r="B27" s="12"/>
      <c r="D27" s="21" t="s">
        <v>0</v>
      </c>
      <c r="E27" s="14" t="s">
        <v>457</v>
      </c>
      <c r="F27" s="57">
        <f>AVERAGE(F17:F23)</f>
        <v>3.4446317764775275E-2</v>
      </c>
      <c r="G27" s="57">
        <f>AVERAGE(G17:G23)</f>
        <v>5.7500000000000002E-2</v>
      </c>
      <c r="H27" s="51">
        <f>AVERAGE(H17:H23)</f>
        <v>3.6000000000000004E-2</v>
      </c>
      <c r="I27" s="52">
        <f>AVERAGE(I17:I23)</f>
        <v>9.2097117043714413E-2</v>
      </c>
      <c r="J27" s="52">
        <f>AVERAGE(J17:J23)</f>
        <v>8.3399919966319791E-2</v>
      </c>
      <c r="K27" s="12"/>
    </row>
    <row r="28" spans="1:11">
      <c r="A28" s="12"/>
      <c r="B28" s="12"/>
      <c r="C28" s="14"/>
      <c r="D28" s="21"/>
      <c r="E28" s="22"/>
      <c r="F28" s="18"/>
      <c r="G28" s="18"/>
      <c r="H28" s="19"/>
      <c r="I28" s="20"/>
      <c r="J28" s="20"/>
      <c r="K28" s="12"/>
    </row>
    <row r="29" spans="1:11" ht="15.75" thickBot="1">
      <c r="A29" s="12"/>
      <c r="B29" s="12"/>
      <c r="C29" s="12"/>
      <c r="D29" s="12"/>
      <c r="E29" s="12"/>
      <c r="F29" s="12"/>
      <c r="G29" s="12"/>
      <c r="H29" s="12"/>
      <c r="I29" s="12"/>
      <c r="J29" s="12"/>
      <c r="K29" s="12"/>
    </row>
    <row r="30" spans="1:11" ht="24" thickBot="1">
      <c r="A30" s="12"/>
      <c r="B30" s="12"/>
      <c r="C30" s="12"/>
      <c r="D30" s="12"/>
      <c r="E30" s="12"/>
      <c r="F30" s="12"/>
      <c r="G30" s="204" t="s">
        <v>197</v>
      </c>
      <c r="H30" s="206"/>
      <c r="I30" s="429">
        <v>9.2100000000000001E-2</v>
      </c>
      <c r="J30" s="12"/>
      <c r="K30" s="12"/>
    </row>
    <row r="31" spans="1:11" ht="15.75" thickBot="1">
      <c r="A31" s="12"/>
      <c r="B31" s="12"/>
      <c r="C31" s="12"/>
      <c r="D31" s="12"/>
      <c r="E31" s="12"/>
      <c r="F31" s="12"/>
      <c r="G31" s="12"/>
      <c r="H31" s="12"/>
      <c r="I31" s="12"/>
      <c r="J31" s="12"/>
      <c r="K31" s="12"/>
    </row>
    <row r="32" spans="1:11" ht="24" thickBot="1">
      <c r="A32" s="12"/>
      <c r="B32" s="12"/>
      <c r="C32" s="12"/>
      <c r="D32" s="12"/>
      <c r="E32" s="12"/>
      <c r="F32" s="12"/>
      <c r="G32" s="204" t="s">
        <v>196</v>
      </c>
      <c r="H32" s="207"/>
      <c r="I32" s="429">
        <v>8.3400000000000002E-2</v>
      </c>
      <c r="J32" s="12"/>
      <c r="K32" s="12"/>
    </row>
    <row r="33" spans="1:10">
      <c r="A33" s="12"/>
      <c r="B33" s="12"/>
      <c r="C33" s="12"/>
      <c r="D33" s="12"/>
      <c r="E33" s="12"/>
      <c r="F33" s="12"/>
      <c r="G33" s="12"/>
      <c r="H33" s="12"/>
      <c r="I33" s="12"/>
      <c r="J33" s="12"/>
    </row>
    <row r="34" spans="1:10" ht="20.25">
      <c r="A34" s="24" t="s">
        <v>386</v>
      </c>
      <c r="B34" s="12"/>
      <c r="C34" s="24" t="s">
        <v>387</v>
      </c>
      <c r="D34" s="12"/>
      <c r="E34" s="12"/>
      <c r="F34" s="12"/>
      <c r="G34" s="12"/>
      <c r="H34" s="12"/>
      <c r="I34" s="12"/>
      <c r="J34" s="12"/>
    </row>
    <row r="35" spans="1:10" ht="15.75">
      <c r="A35" s="64" t="s">
        <v>388</v>
      </c>
      <c r="B35" s="12"/>
      <c r="C35" s="64" t="s">
        <v>388</v>
      </c>
      <c r="D35" s="12"/>
      <c r="E35" s="12"/>
      <c r="F35" s="12"/>
      <c r="G35" s="12"/>
      <c r="H35" s="12"/>
      <c r="I35" s="12"/>
      <c r="J35" s="12"/>
    </row>
    <row r="36" spans="1:10" ht="15.75">
      <c r="A36" s="64" t="s">
        <v>389</v>
      </c>
      <c r="B36" s="12"/>
      <c r="C36" s="64" t="s">
        <v>390</v>
      </c>
      <c r="D36" s="12"/>
      <c r="E36" s="12"/>
      <c r="F36" s="12"/>
      <c r="G36" s="12"/>
      <c r="H36" s="12"/>
      <c r="I36" s="12"/>
      <c r="J36" s="12"/>
    </row>
    <row r="37" spans="1:10">
      <c r="A37" s="44"/>
      <c r="B37" s="12"/>
      <c r="C37" s="44"/>
      <c r="D37" s="12"/>
      <c r="E37" s="12"/>
      <c r="F37" s="12"/>
      <c r="G37" s="12"/>
      <c r="H37" s="12"/>
      <c r="I37" s="12"/>
      <c r="J37" s="12"/>
    </row>
    <row r="38" spans="1:10">
      <c r="A38" s="44"/>
      <c r="B38" s="12"/>
      <c r="C38" s="44"/>
      <c r="D38" s="12"/>
      <c r="E38" s="12"/>
      <c r="F38" s="12"/>
      <c r="G38" s="12"/>
      <c r="H38" s="12"/>
      <c r="I38" s="12"/>
      <c r="J38" s="12"/>
    </row>
    <row r="39" spans="1:10" ht="20.25">
      <c r="A39" s="24" t="s">
        <v>221</v>
      </c>
      <c r="B39" s="12"/>
      <c r="C39" s="24" t="s">
        <v>221</v>
      </c>
      <c r="D39" s="12"/>
      <c r="E39" s="12"/>
      <c r="F39" s="12"/>
      <c r="G39" s="12"/>
      <c r="H39" s="12"/>
      <c r="I39" s="12"/>
      <c r="J39" s="12"/>
    </row>
    <row r="40" spans="1:10">
      <c r="A40" s="44"/>
      <c r="B40" s="12"/>
      <c r="C40" s="44"/>
      <c r="D40" s="12"/>
      <c r="E40" s="12"/>
      <c r="F40" s="12"/>
      <c r="H40" s="12"/>
      <c r="I40" s="12"/>
      <c r="J40" s="12"/>
    </row>
    <row r="41" spans="1:10" ht="15.75">
      <c r="A41" s="64" t="s">
        <v>222</v>
      </c>
      <c r="B41" s="12"/>
      <c r="C41" s="64" t="s">
        <v>222</v>
      </c>
      <c r="D41" s="12"/>
      <c r="E41" s="12"/>
      <c r="F41" s="12"/>
      <c r="G41" s="12"/>
      <c r="H41" s="12"/>
      <c r="I41" s="12"/>
      <c r="J41" s="12"/>
    </row>
    <row r="42" spans="1:10" ht="15.75">
      <c r="A42" s="64" t="s">
        <v>220</v>
      </c>
      <c r="B42" s="12"/>
      <c r="C42" s="64" t="s">
        <v>220</v>
      </c>
      <c r="D42" s="12"/>
      <c r="E42" s="12"/>
      <c r="F42" s="12"/>
      <c r="G42" s="12"/>
      <c r="H42" s="12"/>
      <c r="I42" s="12"/>
      <c r="J42" s="12"/>
    </row>
    <row r="43" spans="1:10" ht="15.75">
      <c r="A43" s="64" t="s">
        <v>223</v>
      </c>
      <c r="B43" s="12"/>
      <c r="C43" s="64" t="s">
        <v>223</v>
      </c>
      <c r="D43" s="12"/>
      <c r="E43" s="12"/>
      <c r="F43" s="12"/>
      <c r="G43" s="12"/>
      <c r="H43" s="12"/>
      <c r="I43" s="12"/>
      <c r="J43" s="12"/>
    </row>
    <row r="44" spans="1:10" ht="15.75">
      <c r="A44" s="64" t="s">
        <v>391</v>
      </c>
      <c r="B44" s="12"/>
      <c r="C44" s="64" t="s">
        <v>392</v>
      </c>
      <c r="D44" s="12"/>
      <c r="E44" s="12"/>
      <c r="F44" s="12"/>
      <c r="G44" s="12"/>
      <c r="H44" s="12"/>
      <c r="I44" s="12"/>
      <c r="J44" s="12"/>
    </row>
    <row r="45" spans="1:10" ht="15.75">
      <c r="A45" s="64"/>
      <c r="B45" s="12"/>
      <c r="C45" s="64"/>
      <c r="D45" s="12"/>
      <c r="E45" s="12"/>
      <c r="F45" s="12"/>
      <c r="G45" s="12"/>
      <c r="H45" s="12"/>
      <c r="I45" s="12"/>
      <c r="J45" s="12"/>
    </row>
    <row r="46" spans="1:10" ht="15.75">
      <c r="A46" s="64"/>
      <c r="B46" s="12"/>
      <c r="C46" s="64"/>
      <c r="D46" s="12"/>
      <c r="E46" s="12"/>
      <c r="F46" s="12"/>
      <c r="G46" s="12"/>
      <c r="H46" s="12"/>
      <c r="I46" s="12"/>
      <c r="J46" s="12"/>
    </row>
  </sheetData>
  <pageMargins left="0.25" right="0.25" top="0.75" bottom="0.75" header="0.3" footer="0.3"/>
  <pageSetup scale="5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150D5-3409-4DE1-88B0-B66A1BCAC2E5}">
  <sheetPr>
    <tabColor rgb="FF92D050"/>
  </sheetPr>
  <dimension ref="A1:K113"/>
  <sheetViews>
    <sheetView view="pageBreakPreview" zoomScale="70" zoomScaleNormal="80" zoomScaleSheetLayoutView="70" workbookViewId="0">
      <selection activeCell="E21" sqref="E21"/>
    </sheetView>
  </sheetViews>
  <sheetFormatPr defaultRowHeight="15"/>
  <cols>
    <col min="1" max="1" width="50.28515625" customWidth="1"/>
    <col min="2" max="2" width="16.7109375" customWidth="1"/>
    <col min="3" max="3" width="24.5703125" customWidth="1"/>
    <col min="4" max="4" width="26.5703125" customWidth="1"/>
    <col min="5" max="5" width="30.7109375" customWidth="1"/>
    <col min="6" max="6" width="22.42578125" customWidth="1"/>
    <col min="7" max="7" width="27" customWidth="1"/>
    <col min="8" max="8" width="43" customWidth="1"/>
    <col min="9" max="9" width="15.28515625" customWidth="1"/>
    <col min="10" max="10" width="24.5703125" customWidth="1"/>
    <col min="11" max="11" width="24.140625" customWidth="1"/>
    <col min="13" max="13" width="10.5703125" customWidth="1"/>
  </cols>
  <sheetData>
    <row r="1" spans="1:9" ht="20.25">
      <c r="A1" s="24" t="s">
        <v>1</v>
      </c>
      <c r="B1" s="12"/>
      <c r="C1" s="12"/>
      <c r="D1" s="12"/>
      <c r="E1" s="12"/>
      <c r="F1" s="12"/>
      <c r="G1" s="12"/>
      <c r="H1" s="12"/>
      <c r="I1" s="12"/>
    </row>
    <row r="2" spans="1:9" ht="15.75">
      <c r="A2" s="25" t="s">
        <v>9</v>
      </c>
      <c r="B2" s="12"/>
      <c r="C2" s="12"/>
      <c r="D2" s="12"/>
      <c r="E2" s="12"/>
      <c r="F2" s="12"/>
      <c r="G2" s="12"/>
      <c r="H2" s="12"/>
      <c r="I2" s="12"/>
    </row>
    <row r="3" spans="1:9">
      <c r="A3" s="26" t="s">
        <v>76</v>
      </c>
      <c r="B3" s="12"/>
      <c r="C3" s="12"/>
      <c r="D3" s="12"/>
      <c r="E3" s="12"/>
      <c r="F3" s="12"/>
      <c r="G3" s="12"/>
      <c r="H3" s="12"/>
      <c r="I3" s="12"/>
    </row>
    <row r="4" spans="1:9">
      <c r="A4" s="26"/>
      <c r="B4" s="12"/>
      <c r="C4" s="12"/>
      <c r="D4" s="12"/>
      <c r="E4" s="12"/>
      <c r="F4" s="12"/>
      <c r="G4" s="12"/>
      <c r="H4" s="12"/>
      <c r="I4" s="12"/>
    </row>
    <row r="5" spans="1:9" ht="15.75" thickBot="1">
      <c r="A5" s="12"/>
      <c r="B5" s="12"/>
      <c r="C5" s="12"/>
      <c r="D5" s="12"/>
      <c r="E5" s="12"/>
      <c r="F5" s="12"/>
      <c r="G5" s="12"/>
      <c r="H5" s="12"/>
      <c r="I5" s="27"/>
    </row>
    <row r="6" spans="1:9" ht="18.75" thickBot="1">
      <c r="A6" s="279" t="str">
        <f>+'S&amp;D'!A12</f>
        <v>Electric Wholesale (non-regulated) Power Generator</v>
      </c>
      <c r="B6" s="207"/>
      <c r="C6" s="12"/>
      <c r="D6" s="12"/>
      <c r="E6" s="12"/>
      <c r="F6" s="12"/>
      <c r="G6" s="12"/>
      <c r="H6" s="12"/>
      <c r="I6" s="12"/>
    </row>
    <row r="7" spans="1:9" ht="18">
      <c r="A7" s="31"/>
      <c r="B7" s="12"/>
      <c r="C7" s="12"/>
      <c r="D7" s="12"/>
      <c r="E7" s="12"/>
      <c r="F7" s="12"/>
      <c r="G7" s="12"/>
      <c r="H7" s="12"/>
      <c r="I7" s="12"/>
    </row>
    <row r="8" spans="1:9" ht="18.75" thickBot="1">
      <c r="A8" s="31"/>
      <c r="B8" s="12"/>
      <c r="C8" s="12"/>
      <c r="D8" s="29"/>
      <c r="E8" s="29"/>
      <c r="F8" s="29"/>
      <c r="G8" s="12"/>
      <c r="H8" s="12"/>
      <c r="I8" s="12"/>
    </row>
    <row r="9" spans="1:9" ht="20.25">
      <c r="A9" s="31"/>
      <c r="B9" s="12"/>
      <c r="C9" s="12"/>
      <c r="D9" s="12"/>
      <c r="E9" s="32" t="s">
        <v>198</v>
      </c>
      <c r="F9" s="12"/>
      <c r="G9" s="12"/>
      <c r="H9" s="12"/>
      <c r="I9" s="12"/>
    </row>
    <row r="10" spans="1:9" ht="18.75" thickBot="1">
      <c r="A10" s="31"/>
      <c r="B10" s="12"/>
      <c r="C10" s="12"/>
      <c r="D10" s="29"/>
      <c r="E10" s="33" t="s">
        <v>90</v>
      </c>
      <c r="F10" s="29"/>
      <c r="G10" s="12"/>
      <c r="H10" s="12"/>
      <c r="I10" s="12"/>
    </row>
    <row r="11" spans="1:9" ht="18">
      <c r="A11" s="31"/>
      <c r="B11" s="12"/>
      <c r="C11" s="12"/>
      <c r="D11" s="12"/>
      <c r="E11" s="12"/>
      <c r="F11" s="35"/>
      <c r="G11" s="35"/>
      <c r="H11" s="12"/>
      <c r="I11" s="12"/>
    </row>
    <row r="12" spans="1:9" ht="18">
      <c r="A12" s="31"/>
      <c r="B12" s="12"/>
      <c r="C12" s="12"/>
      <c r="D12" s="12"/>
      <c r="E12" s="12"/>
      <c r="F12" s="35"/>
      <c r="G12" s="35"/>
      <c r="H12" s="12"/>
      <c r="I12" s="12"/>
    </row>
    <row r="13" spans="1:9" ht="45.75" customHeight="1" thickBot="1">
      <c r="A13" s="34" t="s">
        <v>0</v>
      </c>
      <c r="B13" s="34" t="s">
        <v>0</v>
      </c>
      <c r="C13" s="34" t="s">
        <v>0</v>
      </c>
      <c r="D13" s="29"/>
      <c r="E13" s="29"/>
      <c r="F13" s="34" t="s">
        <v>0</v>
      </c>
      <c r="G13" s="34"/>
      <c r="H13" s="34"/>
      <c r="I13" s="12"/>
    </row>
    <row r="14" spans="1:9">
      <c r="A14" s="35" t="s">
        <v>0</v>
      </c>
      <c r="B14" s="35" t="s">
        <v>3</v>
      </c>
      <c r="C14" s="35" t="s">
        <v>5</v>
      </c>
      <c r="D14" s="35" t="s">
        <v>194</v>
      </c>
      <c r="E14" s="35" t="s">
        <v>195</v>
      </c>
      <c r="F14" s="35" t="s">
        <v>199</v>
      </c>
      <c r="G14" s="35" t="s">
        <v>19</v>
      </c>
      <c r="H14" s="35" t="s">
        <v>202</v>
      </c>
      <c r="I14" s="12"/>
    </row>
    <row r="15" spans="1:9">
      <c r="A15" s="35" t="s">
        <v>2</v>
      </c>
      <c r="B15" s="35" t="s">
        <v>4</v>
      </c>
      <c r="C15" s="35" t="s">
        <v>6</v>
      </c>
      <c r="D15" s="35" t="s">
        <v>396</v>
      </c>
      <c r="E15" s="35" t="s">
        <v>201</v>
      </c>
      <c r="F15" s="35" t="s">
        <v>144</v>
      </c>
      <c r="G15" s="35" t="s">
        <v>200</v>
      </c>
      <c r="H15" s="35" t="s">
        <v>190</v>
      </c>
      <c r="I15" s="12"/>
    </row>
    <row r="16" spans="1:9">
      <c r="A16" s="35"/>
      <c r="B16" s="35" t="s">
        <v>0</v>
      </c>
      <c r="C16" s="35" t="s">
        <v>0</v>
      </c>
      <c r="D16" s="35" t="s">
        <v>0</v>
      </c>
      <c r="E16" s="35" t="s">
        <v>200</v>
      </c>
      <c r="F16" s="36" t="s">
        <v>0</v>
      </c>
      <c r="G16" s="35" t="s">
        <v>206</v>
      </c>
      <c r="H16" s="36" t="s">
        <v>207</v>
      </c>
      <c r="I16" s="12"/>
    </row>
    <row r="17" spans="1:11" ht="18" customHeight="1" thickBot="1">
      <c r="A17" s="68" t="s">
        <v>0</v>
      </c>
      <c r="B17" s="38" t="s">
        <v>0</v>
      </c>
      <c r="C17" s="38" t="s">
        <v>0</v>
      </c>
      <c r="D17" s="33" t="s">
        <v>204</v>
      </c>
      <c r="E17" s="33" t="s">
        <v>205</v>
      </c>
      <c r="F17" s="33" t="s">
        <v>203</v>
      </c>
      <c r="G17" s="35" t="s">
        <v>110</v>
      </c>
      <c r="H17" s="161"/>
      <c r="I17" s="12"/>
    </row>
    <row r="18" spans="1:11">
      <c r="A18" s="39" t="s">
        <v>0</v>
      </c>
      <c r="B18" s="39" t="s">
        <v>0</v>
      </c>
      <c r="C18" s="39" t="s">
        <v>0</v>
      </c>
      <c r="D18" s="39" t="s">
        <v>7</v>
      </c>
      <c r="E18" s="39" t="s">
        <v>7</v>
      </c>
      <c r="F18" s="39" t="s">
        <v>0</v>
      </c>
      <c r="G18" s="69" t="s">
        <v>0</v>
      </c>
      <c r="H18" s="39" t="s">
        <v>0</v>
      </c>
      <c r="I18" s="12"/>
    </row>
    <row r="19" spans="1:11">
      <c r="A19" s="35"/>
      <c r="B19" s="35"/>
      <c r="C19" s="35"/>
      <c r="D19" s="35"/>
      <c r="E19" s="12"/>
      <c r="F19" s="35"/>
      <c r="G19" s="12"/>
      <c r="H19" s="12"/>
      <c r="I19" s="12"/>
      <c r="J19" t="s">
        <v>0</v>
      </c>
      <c r="K19" t="s">
        <v>0</v>
      </c>
    </row>
    <row r="20" spans="1:11">
      <c r="A20" s="12"/>
      <c r="B20" s="12"/>
      <c r="C20" s="12"/>
      <c r="D20" s="12"/>
      <c r="E20" s="12"/>
      <c r="F20" s="12"/>
      <c r="G20" s="12"/>
      <c r="H20" s="12" t="s">
        <v>0</v>
      </c>
      <c r="I20" s="12"/>
      <c r="J20" t="s">
        <v>0</v>
      </c>
      <c r="K20" t="s">
        <v>0</v>
      </c>
    </row>
    <row r="21" spans="1:11">
      <c r="A21" s="44" t="str">
        <f>+'S&amp;D'!A22</f>
        <v>AES CORPORATION</v>
      </c>
      <c r="B21" s="35" t="str">
        <f>+'S&amp;D'!B22</f>
        <v>AES</v>
      </c>
      <c r="C21" s="35" t="str">
        <f>+'S&amp;D'!C22</f>
        <v>Power Wholesale</v>
      </c>
      <c r="D21" s="67">
        <f>+'Dividends '!H16</f>
        <v>2.294853963838665E-2</v>
      </c>
      <c r="E21" s="360">
        <f>+'Single Stage Div Growth Model'!H17</f>
        <v>0</v>
      </c>
      <c r="F21" s="67">
        <f>+'Growth &amp; Inflation Rates'!F93</f>
        <v>4.1419999999999998E-2</v>
      </c>
      <c r="G21" s="67">
        <f t="shared" ref="G21" si="0">(F21+E21)/2</f>
        <v>2.0709999999999999E-2</v>
      </c>
      <c r="H21" s="67">
        <f t="shared" ref="H21:H26" si="1">D21*(1+(0.5*G21))+(0.67*E21)+(0.33*F21)</f>
        <v>3.6854771766342137E-2</v>
      </c>
      <c r="I21" s="12"/>
      <c r="J21" t="s">
        <v>0</v>
      </c>
      <c r="K21" t="s">
        <v>0</v>
      </c>
    </row>
    <row r="22" spans="1:11">
      <c r="A22" s="44" t="str">
        <f>+'S&amp;D'!A23</f>
        <v>DOMINION ENERGY INC</v>
      </c>
      <c r="B22" s="35" t="str">
        <f>+'S&amp;D'!B23</f>
        <v>D</v>
      </c>
      <c r="C22" s="35" t="str">
        <f>+'S&amp;D'!C23</f>
        <v>Power Wholesale</v>
      </c>
      <c r="D22" s="67">
        <f>+'Dividends '!H17</f>
        <v>4.4846705805609913E-2</v>
      </c>
      <c r="E22" s="67">
        <f>+'Single Stage Div Growth Model'!H18</f>
        <v>0.04</v>
      </c>
      <c r="F22" s="67">
        <f>+F21</f>
        <v>4.1419999999999998E-2</v>
      </c>
      <c r="G22" s="67">
        <f t="shared" ref="G22:G26" si="2">(F22+E22)/2</f>
        <v>4.0709999999999996E-2</v>
      </c>
      <c r="H22" s="67">
        <f t="shared" si="1"/>
        <v>8.6228160502283102E-2</v>
      </c>
      <c r="I22" s="12"/>
      <c r="J22" t="s">
        <v>0</v>
      </c>
      <c r="K22" t="s">
        <v>0</v>
      </c>
    </row>
    <row r="23" spans="1:11">
      <c r="A23" s="44" t="str">
        <f>+'S&amp;D'!A24</f>
        <v>EXELON CORPORATION</v>
      </c>
      <c r="B23" s="35" t="str">
        <f>+'S&amp;D'!B24</f>
        <v>EXC</v>
      </c>
      <c r="C23" s="35" t="str">
        <f>+'S&amp;D'!C24</f>
        <v>Power Wholesale</v>
      </c>
      <c r="D23" s="67">
        <f>+'Dividends '!H18</f>
        <v>3.3541522091140412E-2</v>
      </c>
      <c r="E23" s="360" t="str">
        <f>+'Single Stage Div Growth Model'!H19</f>
        <v>NMF</v>
      </c>
      <c r="F23" s="67">
        <f>+F21</f>
        <v>4.1419999999999998E-2</v>
      </c>
      <c r="G23" s="360" t="s">
        <v>439</v>
      </c>
      <c r="H23" s="360" t="s">
        <v>439</v>
      </c>
      <c r="I23" s="12"/>
      <c r="J23" t="s">
        <v>0</v>
      </c>
      <c r="K23" t="s">
        <v>0</v>
      </c>
    </row>
    <row r="24" spans="1:11">
      <c r="A24" s="44" t="str">
        <f>+'S&amp;D'!A25</f>
        <v>NEXTERA ENERGY INC</v>
      </c>
      <c r="B24" s="35" t="str">
        <f>+'S&amp;D'!B25</f>
        <v>NEE</v>
      </c>
      <c r="C24" s="35" t="str">
        <f>+'S&amp;D'!C25</f>
        <v>Power Wholesale</v>
      </c>
      <c r="D24" s="67">
        <f>+'Dividends '!H19</f>
        <v>2.2368421052631583E-2</v>
      </c>
      <c r="E24" s="67">
        <f>+'Single Stage Div Growth Model'!H20</f>
        <v>0.1</v>
      </c>
      <c r="F24" s="67">
        <f>+F21</f>
        <v>4.1419999999999998E-2</v>
      </c>
      <c r="G24" s="67">
        <f t="shared" ref="G24" si="3">(F24+E24)/2</f>
        <v>7.0709999999999995E-2</v>
      </c>
      <c r="H24" s="67">
        <f t="shared" ref="H24" si="4">D24*(1+(0.5*G24))+(0.67*E24)+(0.33*F24)</f>
        <v>0.10382785657894739</v>
      </c>
      <c r="I24" s="12"/>
    </row>
    <row r="25" spans="1:11">
      <c r="A25" s="44" t="str">
        <f>+'S&amp;D'!A26</f>
        <v>NRG ENERGY</v>
      </c>
      <c r="B25" s="35" t="str">
        <f>+'S&amp;D'!B26</f>
        <v>NRG</v>
      </c>
      <c r="C25" s="35" t="str">
        <f>+'S&amp;D'!C26</f>
        <v>Power Wholesale</v>
      </c>
      <c r="D25" s="67">
        <f>+'Dividends '!H20</f>
        <v>4.7454431175361411E-2</v>
      </c>
      <c r="E25" s="67">
        <f>+'Single Stage Div Growth Model'!H21</f>
        <v>-2.5000000000000001E-2</v>
      </c>
      <c r="F25" s="67">
        <f>+F21</f>
        <v>4.1419999999999998E-2</v>
      </c>
      <c r="G25" s="67">
        <f t="shared" si="2"/>
        <v>8.2099999999999985E-3</v>
      </c>
      <c r="H25" s="67">
        <f t="shared" si="1"/>
        <v>4.456783161533627E-2</v>
      </c>
      <c r="I25" s="12"/>
      <c r="J25" t="s">
        <v>0</v>
      </c>
      <c r="K25" t="s">
        <v>0</v>
      </c>
    </row>
    <row r="26" spans="1:11">
      <c r="A26" s="44" t="str">
        <f>+'S&amp;D'!A27</f>
        <v>SOUTHERN COMPANY</v>
      </c>
      <c r="B26" s="35" t="str">
        <f>+'S&amp;D'!B27</f>
        <v>SO</v>
      </c>
      <c r="C26" s="35" t="str">
        <f>+'S&amp;D'!C27</f>
        <v>Power Wholesale</v>
      </c>
      <c r="D26" s="67">
        <f>+'Dividends '!H21</f>
        <v>3.8930121831676233E-2</v>
      </c>
      <c r="E26" s="67">
        <f>+'Single Stage Div Growth Model'!H22</f>
        <v>6.5000000000000002E-2</v>
      </c>
      <c r="F26" s="67">
        <f>+F21</f>
        <v>4.1419999999999998E-2</v>
      </c>
      <c r="G26" s="67">
        <f t="shared" si="2"/>
        <v>5.321E-2</v>
      </c>
      <c r="H26" s="67">
        <f t="shared" si="1"/>
        <v>9.7184457723007989E-2</v>
      </c>
      <c r="I26" s="12"/>
      <c r="J26" t="s">
        <v>0</v>
      </c>
      <c r="K26" t="s">
        <v>0</v>
      </c>
    </row>
    <row r="27" spans="1:11" ht="15.75" thickBot="1">
      <c r="A27" s="44" t="str">
        <f>+'S&amp;D'!A28</f>
        <v>VISTRA ENERGY CORPORATION</v>
      </c>
      <c r="B27" s="35" t="str">
        <f>+'S&amp;D'!B28</f>
        <v>VST</v>
      </c>
      <c r="C27" s="35" t="str">
        <f>+'S&amp;D'!C28</f>
        <v>Power Wholesale</v>
      </c>
      <c r="D27" s="67">
        <f>+'Dividends '!H22</f>
        <v>3.1034482758620689E-2</v>
      </c>
      <c r="E27" s="360" t="str">
        <f>+'Single Stage Div Growth Model'!H23</f>
        <v>NMF</v>
      </c>
      <c r="F27" s="67">
        <f>+F21</f>
        <v>4.1419999999999998E-2</v>
      </c>
      <c r="G27" s="360" t="s">
        <v>439</v>
      </c>
      <c r="H27" s="361" t="s">
        <v>439</v>
      </c>
      <c r="I27" s="12"/>
      <c r="J27" s="11" t="s">
        <v>0</v>
      </c>
      <c r="K27" t="s">
        <v>0</v>
      </c>
    </row>
    <row r="28" spans="1:11" ht="15.75" thickTop="1">
      <c r="A28" s="12"/>
      <c r="B28" s="12"/>
      <c r="C28" s="12"/>
      <c r="D28" s="12"/>
      <c r="E28" s="12"/>
      <c r="F28" s="12"/>
      <c r="G28" s="199" t="s">
        <v>53</v>
      </c>
      <c r="H28" s="57">
        <v>0.1038</v>
      </c>
      <c r="I28" s="12"/>
    </row>
    <row r="29" spans="1:11">
      <c r="A29" s="12"/>
      <c r="B29" s="12"/>
      <c r="C29" s="14" t="s">
        <v>0</v>
      </c>
      <c r="D29" s="15" t="s">
        <v>0</v>
      </c>
      <c r="E29" s="15" t="s">
        <v>0</v>
      </c>
      <c r="F29" s="16" t="s">
        <v>0</v>
      </c>
      <c r="G29" s="16" t="s">
        <v>54</v>
      </c>
      <c r="H29" s="305">
        <v>3.6900000000000002E-2</v>
      </c>
      <c r="I29" s="12"/>
    </row>
    <row r="30" spans="1:11">
      <c r="A30" s="12"/>
      <c r="B30" s="12"/>
      <c r="D30" s="57" t="s">
        <v>0</v>
      </c>
      <c r="E30" s="51" t="s">
        <v>0</v>
      </c>
      <c r="F30" s="51" t="s">
        <v>0</v>
      </c>
      <c r="G30" s="14" t="s">
        <v>18</v>
      </c>
      <c r="H30" s="52">
        <f>MEDIAN(H21:H27)</f>
        <v>8.6228160502283102E-2</v>
      </c>
      <c r="I30" s="12"/>
    </row>
    <row r="31" spans="1:11">
      <c r="A31" s="12"/>
      <c r="B31" s="12"/>
      <c r="D31" s="57" t="s">
        <v>0</v>
      </c>
      <c r="E31" s="51" t="s">
        <v>0</v>
      </c>
      <c r="F31" s="57" t="s">
        <v>0</v>
      </c>
      <c r="G31" s="14" t="s">
        <v>457</v>
      </c>
      <c r="H31" s="52">
        <f>AVERAGE(H21:H27)</f>
        <v>7.3732615637183377E-2</v>
      </c>
      <c r="I31" s="12"/>
    </row>
    <row r="32" spans="1:11">
      <c r="A32" s="12"/>
      <c r="B32" s="12"/>
      <c r="C32" s="14"/>
      <c r="D32" s="18"/>
      <c r="E32" s="19"/>
      <c r="F32" s="18"/>
      <c r="G32" s="20"/>
      <c r="H32" s="20"/>
      <c r="I32" s="12"/>
    </row>
    <row r="33" spans="1:9" ht="15.75" thickBot="1">
      <c r="A33" s="12"/>
      <c r="B33" s="12"/>
      <c r="C33" s="12"/>
      <c r="D33" s="12"/>
      <c r="E33" s="12"/>
      <c r="F33" s="12"/>
      <c r="G33" s="12"/>
      <c r="H33" s="12"/>
      <c r="I33" s="12"/>
    </row>
    <row r="34" spans="1:9" ht="24" thickBot="1">
      <c r="A34" s="12"/>
      <c r="B34" s="12"/>
      <c r="C34" s="12"/>
      <c r="D34" s="12"/>
      <c r="F34" s="204"/>
      <c r="G34" s="205" t="s">
        <v>256</v>
      </c>
      <c r="H34" s="363">
        <v>7.3700000000000002E-2</v>
      </c>
      <c r="I34" s="12"/>
    </row>
    <row r="35" spans="1:9">
      <c r="A35" s="12"/>
      <c r="B35" s="12"/>
      <c r="C35" s="12"/>
      <c r="D35" s="12"/>
      <c r="E35" s="12"/>
      <c r="F35" s="12"/>
      <c r="G35" s="12"/>
      <c r="H35" s="12"/>
      <c r="I35" s="12"/>
    </row>
    <row r="36" spans="1:9" ht="23.25">
      <c r="A36" s="24" t="s">
        <v>339</v>
      </c>
      <c r="B36" s="12"/>
      <c r="C36" s="12"/>
      <c r="D36" s="12"/>
      <c r="E36" s="12"/>
      <c r="F36" s="12"/>
      <c r="G36" s="23" t="s">
        <v>0</v>
      </c>
      <c r="H36" s="12"/>
      <c r="I36" s="12"/>
    </row>
    <row r="37" spans="1:9">
      <c r="A37" s="44"/>
      <c r="B37" s="12"/>
      <c r="C37" s="12"/>
      <c r="D37" s="12"/>
      <c r="E37" s="12"/>
      <c r="F37" s="12"/>
      <c r="G37" s="12"/>
      <c r="H37" s="12"/>
      <c r="I37" s="12"/>
    </row>
    <row r="38" spans="1:9" ht="15.75">
      <c r="A38" s="64" t="s">
        <v>222</v>
      </c>
      <c r="B38" s="12"/>
      <c r="C38" s="12"/>
      <c r="D38" s="12"/>
      <c r="E38" s="12"/>
      <c r="F38" s="12"/>
      <c r="G38" s="12"/>
      <c r="H38" s="12"/>
      <c r="I38" s="12"/>
    </row>
    <row r="39" spans="1:9" ht="15.75">
      <c r="A39" s="64" t="s">
        <v>340</v>
      </c>
      <c r="B39" s="12"/>
      <c r="C39" s="12"/>
      <c r="D39" s="12"/>
      <c r="E39" s="12"/>
      <c r="F39" s="12"/>
      <c r="G39" s="12"/>
      <c r="H39" s="12"/>
      <c r="I39" s="12"/>
    </row>
    <row r="40" spans="1:9" ht="15.75">
      <c r="A40" s="64" t="s">
        <v>341</v>
      </c>
      <c r="B40" s="12"/>
      <c r="C40" s="12"/>
      <c r="D40" s="12"/>
      <c r="E40" s="12"/>
      <c r="F40" s="12"/>
      <c r="G40" s="12"/>
      <c r="H40" s="12"/>
      <c r="I40" s="12"/>
    </row>
    <row r="41" spans="1:9" ht="15.75">
      <c r="A41" s="64" t="s">
        <v>342</v>
      </c>
      <c r="B41" s="12"/>
      <c r="C41" s="12"/>
      <c r="D41" s="12"/>
      <c r="E41" s="12"/>
      <c r="F41" s="12"/>
      <c r="G41" s="12"/>
      <c r="H41" s="12"/>
      <c r="I41" s="12"/>
    </row>
    <row r="42" spans="1:9" ht="15.75">
      <c r="A42" s="64" t="s">
        <v>343</v>
      </c>
      <c r="B42" s="12"/>
      <c r="C42" s="12"/>
      <c r="D42" s="12"/>
      <c r="E42" s="12"/>
      <c r="F42" s="12"/>
      <c r="G42" s="12"/>
      <c r="H42" s="12"/>
      <c r="I42" s="12"/>
    </row>
    <row r="43" spans="1:9">
      <c r="A43" s="12"/>
      <c r="B43" s="12"/>
      <c r="C43" s="12"/>
      <c r="D43" s="12"/>
      <c r="E43" s="12"/>
      <c r="F43" s="12"/>
      <c r="G43" s="12"/>
      <c r="H43" s="12"/>
      <c r="I43" s="12"/>
    </row>
    <row r="44" spans="1:9">
      <c r="A44" s="44" t="s">
        <v>0</v>
      </c>
      <c r="B44" s="12"/>
      <c r="C44" s="12"/>
      <c r="D44" s="12"/>
      <c r="E44" s="12"/>
      <c r="F44" s="12"/>
      <c r="G44" s="12"/>
      <c r="H44" s="12"/>
      <c r="I44" s="12"/>
    </row>
    <row r="45" spans="1:9">
      <c r="A45" s="44"/>
      <c r="B45" s="12"/>
      <c r="C45" s="12"/>
      <c r="D45" s="12"/>
      <c r="E45" s="12"/>
      <c r="F45" s="12"/>
      <c r="G45" s="12"/>
      <c r="H45" s="12"/>
      <c r="I45" s="12"/>
    </row>
    <row r="46" spans="1:9">
      <c r="A46" s="12"/>
      <c r="B46" s="12"/>
      <c r="C46" s="12"/>
      <c r="D46" s="12"/>
      <c r="E46" s="12"/>
      <c r="F46" s="12"/>
      <c r="G46" s="12"/>
      <c r="H46" s="12"/>
      <c r="I46" s="12"/>
    </row>
    <row r="47" spans="1:9">
      <c r="A47" s="12"/>
      <c r="B47" s="12"/>
      <c r="C47" s="12"/>
      <c r="D47" s="12"/>
      <c r="E47" s="12"/>
      <c r="F47" s="12"/>
      <c r="G47" s="12"/>
      <c r="H47" s="12"/>
      <c r="I47" s="12"/>
    </row>
    <row r="48" spans="1:9">
      <c r="A48" s="12"/>
      <c r="B48" s="12"/>
      <c r="C48" s="12"/>
      <c r="D48" s="12"/>
      <c r="E48" s="12"/>
      <c r="F48" s="12"/>
      <c r="G48" s="12"/>
      <c r="H48" s="12"/>
      <c r="I48" s="12"/>
    </row>
    <row r="49" spans="1:9">
      <c r="A49" s="12"/>
      <c r="B49" s="12"/>
      <c r="C49" s="12"/>
      <c r="D49" s="12"/>
      <c r="E49" s="12"/>
      <c r="F49" s="12"/>
      <c r="G49" s="12"/>
      <c r="H49" s="12"/>
      <c r="I49" s="12"/>
    </row>
    <row r="50" spans="1:9">
      <c r="C50" s="12"/>
      <c r="D50" s="12"/>
      <c r="E50" s="12"/>
      <c r="F50" s="12"/>
      <c r="G50" s="12"/>
      <c r="H50" s="12"/>
      <c r="I50" s="12"/>
    </row>
    <row r="51" spans="1:9">
      <c r="C51" s="12"/>
      <c r="D51" s="12"/>
      <c r="E51" s="12"/>
      <c r="F51" s="12"/>
      <c r="G51" s="12"/>
      <c r="H51" s="12"/>
      <c r="I51" s="12"/>
    </row>
    <row r="52" spans="1:9">
      <c r="C52" s="12"/>
      <c r="D52" s="12"/>
      <c r="E52" s="12"/>
      <c r="F52" s="12"/>
      <c r="G52" s="12"/>
      <c r="H52" s="12"/>
      <c r="I52" s="12"/>
    </row>
    <row r="53" spans="1:9">
      <c r="C53" s="12"/>
      <c r="D53" s="12"/>
      <c r="E53" s="12"/>
      <c r="F53" s="12"/>
      <c r="G53" s="12"/>
      <c r="H53" s="12"/>
      <c r="I53" s="12"/>
    </row>
    <row r="54" spans="1:9">
      <c r="C54" s="12"/>
      <c r="D54" s="12"/>
      <c r="E54" s="12"/>
      <c r="F54" s="12"/>
      <c r="G54" s="12"/>
      <c r="H54" s="12"/>
      <c r="I54" s="12"/>
    </row>
    <row r="55" spans="1:9">
      <c r="C55" s="12"/>
      <c r="D55" s="12"/>
      <c r="E55" s="12"/>
      <c r="F55" s="12"/>
      <c r="G55" s="12"/>
      <c r="H55" s="12"/>
      <c r="I55" s="12"/>
    </row>
    <row r="56" spans="1:9">
      <c r="C56" s="12"/>
      <c r="D56" s="12"/>
      <c r="E56" s="12"/>
      <c r="F56" s="12"/>
      <c r="G56" s="12"/>
      <c r="H56" s="12"/>
      <c r="I56" s="12"/>
    </row>
    <row r="57" spans="1:9">
      <c r="A57" s="12"/>
      <c r="B57" s="12"/>
      <c r="C57" s="12"/>
      <c r="D57" s="12"/>
      <c r="E57" s="12"/>
      <c r="F57" s="12"/>
      <c r="G57" s="12"/>
      <c r="H57" s="12"/>
      <c r="I57" s="12"/>
    </row>
    <row r="58" spans="1:9">
      <c r="A58" s="12"/>
      <c r="B58" s="12"/>
      <c r="C58" s="12"/>
      <c r="D58" s="12"/>
      <c r="E58" s="12"/>
      <c r="F58" s="12"/>
      <c r="G58" s="12"/>
      <c r="H58" s="12"/>
      <c r="I58" s="12"/>
    </row>
    <row r="59" spans="1:9">
      <c r="A59" s="12"/>
      <c r="B59" s="12"/>
      <c r="C59" s="12"/>
      <c r="D59" s="12"/>
      <c r="E59" s="12"/>
      <c r="F59" s="12"/>
      <c r="G59" s="12"/>
      <c r="H59" s="12"/>
      <c r="I59" s="12"/>
    </row>
    <row r="60" spans="1:9">
      <c r="A60" s="12"/>
      <c r="B60" s="12"/>
      <c r="C60" s="12"/>
      <c r="D60" s="12"/>
      <c r="E60" s="12"/>
      <c r="F60" s="12"/>
      <c r="G60" s="12"/>
      <c r="H60" s="12"/>
      <c r="I60" s="12"/>
    </row>
    <row r="61" spans="1:9">
      <c r="A61" s="12"/>
      <c r="B61" s="12"/>
      <c r="C61" s="12"/>
      <c r="D61" s="12"/>
      <c r="E61" s="12"/>
      <c r="F61" s="12"/>
      <c r="G61" s="12"/>
      <c r="H61" s="12"/>
      <c r="I61" s="12"/>
    </row>
    <row r="62" spans="1:9">
      <c r="A62" s="12"/>
      <c r="B62" s="12"/>
      <c r="C62" s="12"/>
      <c r="D62" s="12"/>
      <c r="E62" s="12"/>
      <c r="F62" s="12"/>
      <c r="G62" s="12"/>
      <c r="H62" s="12"/>
      <c r="I62" s="12"/>
    </row>
    <row r="63" spans="1:9">
      <c r="A63" s="12"/>
      <c r="B63" s="12"/>
      <c r="C63" s="12"/>
      <c r="D63" s="12"/>
      <c r="E63" s="12"/>
      <c r="F63" s="12"/>
      <c r="G63" s="12"/>
      <c r="H63" s="12"/>
      <c r="I63" s="12"/>
    </row>
    <row r="64" spans="1:9">
      <c r="A64" s="12"/>
      <c r="B64" s="12"/>
      <c r="C64" s="12"/>
      <c r="D64" s="12"/>
      <c r="E64" s="12"/>
      <c r="F64" s="12"/>
      <c r="G64" s="12"/>
      <c r="H64" s="12"/>
      <c r="I64" s="12"/>
    </row>
    <row r="65" spans="1:9">
      <c r="A65" s="12"/>
      <c r="B65" s="12"/>
      <c r="C65" s="12"/>
      <c r="D65" s="12"/>
      <c r="E65" s="12"/>
      <c r="F65" s="12"/>
      <c r="G65" s="12"/>
      <c r="H65" s="12"/>
      <c r="I65" s="12"/>
    </row>
    <row r="66" spans="1:9">
      <c r="A66" s="12"/>
      <c r="B66" s="12"/>
      <c r="C66" s="12"/>
      <c r="D66" s="12"/>
      <c r="E66" s="12"/>
      <c r="F66" s="12"/>
      <c r="G66" s="12"/>
      <c r="H66" s="12"/>
      <c r="I66" s="12"/>
    </row>
    <row r="67" spans="1:9">
      <c r="A67" s="12"/>
      <c r="B67" s="12"/>
      <c r="C67" s="12"/>
      <c r="D67" s="12"/>
      <c r="E67" s="12"/>
      <c r="F67" s="12"/>
      <c r="G67" s="12"/>
      <c r="H67" s="12"/>
      <c r="I67" s="12"/>
    </row>
    <row r="68" spans="1:9">
      <c r="A68" s="12"/>
      <c r="B68" s="12"/>
      <c r="C68" s="12"/>
      <c r="D68" s="12"/>
      <c r="E68" s="12"/>
      <c r="F68" s="12"/>
      <c r="G68" s="12"/>
      <c r="H68" s="12"/>
      <c r="I68" s="12"/>
    </row>
    <row r="69" spans="1:9">
      <c r="A69" s="12"/>
      <c r="B69" s="12"/>
      <c r="C69" s="12"/>
      <c r="D69" s="12"/>
      <c r="E69" s="12"/>
      <c r="F69" s="12"/>
      <c r="G69" s="12"/>
      <c r="H69" s="12"/>
      <c r="I69" s="12"/>
    </row>
    <row r="70" spans="1:9">
      <c r="A70" s="12"/>
      <c r="B70" s="12"/>
      <c r="C70" s="12"/>
      <c r="D70" s="12"/>
      <c r="E70" s="12"/>
      <c r="F70" s="12"/>
      <c r="G70" s="12"/>
      <c r="H70" s="12"/>
      <c r="I70" s="12"/>
    </row>
    <row r="71" spans="1:9">
      <c r="A71" s="12"/>
      <c r="B71" s="12"/>
      <c r="C71" s="12"/>
      <c r="D71" s="12"/>
      <c r="E71" s="12"/>
      <c r="F71" s="12"/>
      <c r="G71" s="12"/>
      <c r="H71" s="12"/>
      <c r="I71" s="12"/>
    </row>
    <row r="72" spans="1:9">
      <c r="A72" s="12"/>
      <c r="B72" s="12"/>
      <c r="C72" s="12"/>
      <c r="D72" s="12"/>
      <c r="E72" s="12"/>
      <c r="F72" s="12"/>
      <c r="G72" s="12"/>
      <c r="H72" s="12"/>
      <c r="I72" s="12"/>
    </row>
    <row r="73" spans="1:9">
      <c r="A73" s="12"/>
      <c r="B73" s="12"/>
      <c r="C73" s="12"/>
      <c r="D73" s="12"/>
      <c r="E73" s="12"/>
      <c r="F73" s="12"/>
      <c r="G73" s="12"/>
      <c r="H73" s="12"/>
      <c r="I73" s="12"/>
    </row>
    <row r="74" spans="1:9">
      <c r="A74" s="12"/>
      <c r="B74" s="12"/>
      <c r="C74" s="12"/>
      <c r="D74" s="12"/>
      <c r="E74" s="12"/>
      <c r="F74" s="12"/>
      <c r="G74" s="12"/>
      <c r="H74" s="12"/>
      <c r="I74" s="12"/>
    </row>
    <row r="75" spans="1:9">
      <c r="A75" s="12"/>
      <c r="B75" s="12"/>
      <c r="C75" s="12"/>
      <c r="D75" s="12"/>
      <c r="E75" s="12"/>
      <c r="F75" s="12"/>
      <c r="G75" s="12"/>
      <c r="H75" s="12"/>
      <c r="I75" s="12"/>
    </row>
    <row r="76" spans="1:9">
      <c r="A76" s="12"/>
      <c r="B76" s="12"/>
      <c r="C76" s="12"/>
      <c r="D76" s="12"/>
      <c r="E76" s="12"/>
      <c r="F76" s="12"/>
      <c r="G76" s="12"/>
      <c r="H76" s="12"/>
      <c r="I76" s="12"/>
    </row>
    <row r="77" spans="1:9">
      <c r="A77" s="12"/>
      <c r="B77" s="12"/>
      <c r="C77" s="12"/>
      <c r="D77" s="12"/>
      <c r="E77" s="12"/>
      <c r="F77" s="12"/>
      <c r="G77" s="12"/>
      <c r="H77" s="12"/>
      <c r="I77" s="12"/>
    </row>
    <row r="78" spans="1:9">
      <c r="A78" s="12"/>
      <c r="B78" s="12"/>
      <c r="C78" s="12"/>
      <c r="D78" s="12"/>
      <c r="E78" s="12"/>
      <c r="F78" s="12"/>
      <c r="G78" s="12"/>
      <c r="H78" s="12"/>
      <c r="I78" s="12"/>
    </row>
    <row r="79" spans="1:9">
      <c r="A79" s="12"/>
      <c r="B79" s="12"/>
      <c r="C79" s="12"/>
      <c r="D79" s="12"/>
      <c r="E79" s="12"/>
      <c r="F79" s="12"/>
      <c r="G79" s="12"/>
      <c r="H79" s="12"/>
      <c r="I79" s="12"/>
    </row>
    <row r="80" spans="1:9">
      <c r="A80" s="12"/>
      <c r="B80" s="12"/>
      <c r="C80" s="12"/>
      <c r="D80" s="12"/>
      <c r="E80" s="12"/>
      <c r="F80" s="12"/>
      <c r="G80" s="12"/>
      <c r="H80" s="12"/>
      <c r="I80" s="12"/>
    </row>
    <row r="81" spans="1:9">
      <c r="A81" s="12"/>
      <c r="B81" s="12"/>
      <c r="C81" s="12"/>
      <c r="D81" s="12"/>
      <c r="E81" s="12"/>
      <c r="F81" s="12"/>
      <c r="G81" s="12"/>
      <c r="H81" s="12"/>
      <c r="I81" s="12"/>
    </row>
    <row r="82" spans="1:9">
      <c r="A82" s="12"/>
      <c r="B82" s="12"/>
      <c r="C82" s="12"/>
      <c r="D82" s="12"/>
      <c r="E82" s="12"/>
      <c r="F82" s="12"/>
      <c r="G82" s="12"/>
      <c r="H82" s="12"/>
      <c r="I82" s="12"/>
    </row>
    <row r="83" spans="1:9">
      <c r="A83" s="12"/>
      <c r="B83" s="12"/>
      <c r="C83" s="12"/>
      <c r="D83" s="12"/>
      <c r="E83" s="12"/>
      <c r="F83" s="12"/>
      <c r="G83" s="12"/>
      <c r="H83" s="12"/>
      <c r="I83" s="12"/>
    </row>
    <row r="84" spans="1:9">
      <c r="A84" s="12"/>
      <c r="B84" s="12"/>
      <c r="C84" s="12"/>
      <c r="D84" s="12"/>
      <c r="E84" s="12"/>
      <c r="F84" s="12"/>
      <c r="G84" s="12"/>
      <c r="H84" s="12"/>
      <c r="I84" s="12"/>
    </row>
    <row r="85" spans="1:9">
      <c r="A85" s="12"/>
      <c r="B85" s="12"/>
      <c r="C85" s="12"/>
      <c r="D85" s="12"/>
      <c r="E85" s="12"/>
      <c r="F85" s="12"/>
      <c r="G85" s="12"/>
      <c r="H85" s="12"/>
      <c r="I85" s="12"/>
    </row>
    <row r="86" spans="1:9">
      <c r="A86" s="12"/>
      <c r="B86" s="12"/>
      <c r="C86" s="12"/>
      <c r="D86" s="12"/>
      <c r="E86" s="12"/>
      <c r="F86" s="12"/>
      <c r="G86" s="12"/>
      <c r="H86" s="12"/>
      <c r="I86" s="12"/>
    </row>
    <row r="87" spans="1:9">
      <c r="A87" s="12"/>
      <c r="B87" s="12"/>
      <c r="C87" s="12"/>
      <c r="D87" s="12"/>
      <c r="E87" s="12"/>
      <c r="F87" s="12"/>
      <c r="G87" s="12"/>
      <c r="H87" s="12"/>
      <c r="I87" s="12"/>
    </row>
    <row r="88" spans="1:9">
      <c r="A88" s="12"/>
      <c r="B88" s="12"/>
      <c r="C88" s="12"/>
      <c r="D88" s="12"/>
      <c r="E88" s="12"/>
      <c r="F88" s="12"/>
      <c r="G88" s="12"/>
      <c r="H88" s="12"/>
      <c r="I88" s="12"/>
    </row>
    <row r="89" spans="1:9">
      <c r="A89" s="12"/>
      <c r="B89" s="12"/>
      <c r="C89" s="12"/>
      <c r="D89" s="12"/>
      <c r="E89" s="12"/>
      <c r="F89" s="12"/>
      <c r="G89" s="12"/>
      <c r="H89" s="12"/>
      <c r="I89" s="12"/>
    </row>
    <row r="90" spans="1:9">
      <c r="A90" s="12"/>
      <c r="B90" s="12"/>
      <c r="C90" s="12"/>
      <c r="D90" s="12"/>
      <c r="E90" s="12"/>
      <c r="F90" s="12"/>
      <c r="G90" s="12"/>
      <c r="H90" s="12"/>
      <c r="I90" s="12"/>
    </row>
    <row r="91" spans="1:9">
      <c r="A91" s="12"/>
      <c r="B91" s="12"/>
      <c r="C91" s="12"/>
      <c r="D91" s="12"/>
      <c r="E91" s="12"/>
      <c r="F91" s="12"/>
      <c r="G91" s="12"/>
      <c r="H91" s="12"/>
      <c r="I91" s="12"/>
    </row>
    <row r="92" spans="1:9">
      <c r="A92" s="12"/>
      <c r="B92" s="12"/>
      <c r="C92" s="12"/>
      <c r="D92" s="12"/>
      <c r="E92" s="12"/>
      <c r="F92" s="12"/>
      <c r="G92" s="12"/>
      <c r="H92" s="12"/>
      <c r="I92" s="12"/>
    </row>
    <row r="93" spans="1:9">
      <c r="A93" s="12"/>
      <c r="B93" s="12"/>
      <c r="C93" s="12"/>
      <c r="D93" s="12"/>
      <c r="E93" s="12"/>
      <c r="F93" s="12"/>
      <c r="G93" s="12"/>
      <c r="H93" s="12"/>
      <c r="I93" s="12"/>
    </row>
    <row r="94" spans="1:9">
      <c r="A94" s="12"/>
      <c r="B94" s="12"/>
      <c r="C94" s="12"/>
      <c r="D94" s="12"/>
      <c r="E94" s="12"/>
      <c r="F94" s="12"/>
      <c r="G94" s="12"/>
      <c r="H94" s="12"/>
      <c r="I94" s="12"/>
    </row>
    <row r="95" spans="1:9">
      <c r="A95" s="12"/>
      <c r="B95" s="12"/>
      <c r="C95" s="12"/>
      <c r="D95" s="12"/>
      <c r="E95" s="12"/>
      <c r="F95" s="12"/>
      <c r="G95" s="12"/>
      <c r="H95" s="12"/>
      <c r="I95" s="12"/>
    </row>
    <row r="96" spans="1:9">
      <c r="A96" s="12"/>
      <c r="B96" s="12"/>
      <c r="C96" s="12"/>
      <c r="D96" s="12"/>
      <c r="E96" s="12"/>
      <c r="F96" s="12"/>
      <c r="G96" s="12"/>
      <c r="H96" s="12"/>
      <c r="I96" s="12"/>
    </row>
    <row r="97" spans="1:9">
      <c r="A97" s="12"/>
      <c r="B97" s="12"/>
      <c r="C97" s="12"/>
      <c r="D97" s="12"/>
      <c r="E97" s="12"/>
      <c r="F97" s="12"/>
      <c r="G97" s="12"/>
      <c r="H97" s="12"/>
      <c r="I97" s="12"/>
    </row>
    <row r="98" spans="1:9">
      <c r="A98" s="12"/>
      <c r="B98" s="12"/>
      <c r="C98" s="12"/>
      <c r="D98" s="12"/>
      <c r="E98" s="12"/>
      <c r="F98" s="12"/>
      <c r="G98" s="12"/>
      <c r="H98" s="12"/>
      <c r="I98" s="12"/>
    </row>
    <row r="99" spans="1:9">
      <c r="A99" s="12"/>
      <c r="B99" s="12"/>
      <c r="C99" s="12"/>
      <c r="D99" s="12"/>
      <c r="E99" s="12"/>
      <c r="F99" s="12"/>
      <c r="G99" s="12"/>
      <c r="H99" s="12"/>
      <c r="I99" s="12"/>
    </row>
    <row r="100" spans="1:9">
      <c r="A100" s="12"/>
      <c r="B100" s="12"/>
      <c r="C100" s="12"/>
      <c r="D100" s="12"/>
      <c r="E100" s="12"/>
      <c r="F100" s="12"/>
      <c r="G100" s="12"/>
      <c r="H100" s="12"/>
      <c r="I100" s="12"/>
    </row>
    <row r="101" spans="1:9">
      <c r="A101" s="12"/>
      <c r="B101" s="12"/>
      <c r="C101" s="12"/>
      <c r="D101" s="12"/>
      <c r="E101" s="12"/>
      <c r="F101" s="12"/>
      <c r="G101" s="12"/>
      <c r="H101" s="12"/>
      <c r="I101" s="12"/>
    </row>
    <row r="102" spans="1:9">
      <c r="A102" s="12"/>
      <c r="B102" s="12"/>
      <c r="C102" s="12"/>
      <c r="D102" s="12"/>
      <c r="E102" s="12"/>
      <c r="F102" s="12"/>
      <c r="G102" s="12"/>
      <c r="H102" s="12"/>
      <c r="I102" s="12"/>
    </row>
    <row r="103" spans="1:9">
      <c r="A103" s="12"/>
      <c r="B103" s="12"/>
      <c r="C103" s="12"/>
      <c r="D103" s="12"/>
      <c r="E103" s="12"/>
      <c r="F103" s="12"/>
      <c r="G103" s="12"/>
      <c r="H103" s="12"/>
      <c r="I103" s="12"/>
    </row>
    <row r="104" spans="1:9">
      <c r="A104" s="12"/>
      <c r="B104" s="12"/>
      <c r="C104" s="12"/>
      <c r="D104" s="12"/>
      <c r="E104" s="12"/>
      <c r="F104" s="12"/>
      <c r="G104" s="12"/>
      <c r="H104" s="12"/>
      <c r="I104" s="12"/>
    </row>
    <row r="105" spans="1:9">
      <c r="A105" s="12"/>
      <c r="B105" s="12"/>
      <c r="C105" s="12"/>
      <c r="D105" s="12"/>
      <c r="E105" s="12"/>
      <c r="F105" s="12"/>
      <c r="G105" s="12"/>
      <c r="H105" s="12"/>
      <c r="I105" s="12"/>
    </row>
    <row r="106" spans="1:9">
      <c r="A106" s="12"/>
      <c r="B106" s="12"/>
      <c r="C106" s="12"/>
      <c r="D106" s="12"/>
      <c r="E106" s="12"/>
      <c r="F106" s="12"/>
      <c r="G106" s="12"/>
      <c r="H106" s="12"/>
      <c r="I106" s="12"/>
    </row>
    <row r="107" spans="1:9">
      <c r="A107" s="12"/>
      <c r="B107" s="12"/>
      <c r="C107" s="12"/>
      <c r="D107" s="12"/>
      <c r="E107" s="12"/>
      <c r="F107" s="12"/>
      <c r="G107" s="12"/>
      <c r="H107" s="12"/>
      <c r="I107" s="12"/>
    </row>
    <row r="108" spans="1:9">
      <c r="A108" s="12"/>
      <c r="B108" s="12"/>
      <c r="C108" s="12"/>
      <c r="D108" s="12"/>
      <c r="E108" s="12"/>
      <c r="F108" s="12"/>
      <c r="G108" s="12"/>
      <c r="H108" s="12"/>
      <c r="I108" s="12"/>
    </row>
    <row r="109" spans="1:9">
      <c r="A109" s="12"/>
      <c r="B109" s="12"/>
      <c r="C109" s="12"/>
      <c r="D109" s="12"/>
      <c r="E109" s="12"/>
      <c r="F109" s="12"/>
      <c r="G109" s="12"/>
      <c r="H109" s="12"/>
      <c r="I109" s="12"/>
    </row>
    <row r="110" spans="1:9">
      <c r="A110" s="12"/>
      <c r="B110" s="12"/>
      <c r="C110" s="12"/>
      <c r="D110" s="12"/>
      <c r="E110" s="12"/>
      <c r="F110" s="12"/>
      <c r="G110" s="12"/>
      <c r="H110" s="12"/>
      <c r="I110" s="12"/>
    </row>
    <row r="111" spans="1:9">
      <c r="A111" s="12"/>
      <c r="B111" s="12"/>
      <c r="C111" s="12"/>
      <c r="D111" s="12"/>
      <c r="E111" s="12"/>
      <c r="F111" s="12"/>
      <c r="G111" s="12"/>
      <c r="H111" s="12"/>
      <c r="I111" s="12"/>
    </row>
    <row r="112" spans="1:9">
      <c r="A112" s="12"/>
      <c r="B112" s="12"/>
      <c r="C112" s="12"/>
      <c r="D112" s="12"/>
      <c r="E112" s="12"/>
      <c r="F112" s="12"/>
      <c r="G112" s="12"/>
      <c r="H112" s="12"/>
      <c r="I112" s="12"/>
    </row>
    <row r="113" spans="1:9">
      <c r="A113" s="12"/>
      <c r="B113" s="12"/>
      <c r="C113" s="12"/>
      <c r="D113" s="12"/>
      <c r="E113" s="12"/>
      <c r="F113" s="12"/>
      <c r="G113" s="12"/>
      <c r="H113" s="12"/>
      <c r="I113" s="12"/>
    </row>
  </sheetData>
  <pageMargins left="0.25" right="0.25" top="0.75" bottom="0.75" header="0.3" footer="0.3"/>
  <pageSetup scale="4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A9282-6164-4F23-8F00-A2369B6B55B2}">
  <sheetPr>
    <tabColor rgb="FF92D050"/>
  </sheetPr>
  <dimension ref="A1:N45"/>
  <sheetViews>
    <sheetView view="pageBreakPreview" zoomScale="70" zoomScaleNormal="80" zoomScaleSheetLayoutView="70" workbookViewId="0">
      <selection activeCell="H5" sqref="H5"/>
    </sheetView>
  </sheetViews>
  <sheetFormatPr defaultRowHeight="15"/>
  <cols>
    <col min="1" max="1" width="21.5703125" customWidth="1"/>
    <col min="2" max="2" width="38.42578125" customWidth="1"/>
    <col min="3" max="3" width="25" customWidth="1"/>
    <col min="4" max="4" width="28.85546875" customWidth="1"/>
    <col min="5" max="5" width="22.42578125" customWidth="1"/>
    <col min="6" max="6" width="22.7109375" customWidth="1"/>
    <col min="7" max="7" width="25" customWidth="1"/>
    <col min="8" max="8" width="26.7109375" customWidth="1"/>
    <col min="9" max="9" width="21.5703125" customWidth="1"/>
    <col min="10" max="10" width="21.28515625" customWidth="1"/>
    <col min="11" max="11" width="4.42578125" customWidth="1"/>
    <col min="12" max="12" width="22.7109375" customWidth="1"/>
    <col min="13" max="13" width="17.28515625" customWidth="1"/>
  </cols>
  <sheetData>
    <row r="1" spans="1:14" ht="20.25">
      <c r="A1" s="24" t="s">
        <v>1</v>
      </c>
      <c r="C1" s="12"/>
      <c r="D1" s="12"/>
      <c r="E1" s="12"/>
      <c r="F1" s="12"/>
      <c r="G1" s="12"/>
      <c r="H1" s="12"/>
      <c r="I1" s="12"/>
      <c r="J1" s="12"/>
      <c r="K1" s="12"/>
      <c r="L1" s="12"/>
      <c r="M1" s="12"/>
      <c r="N1" s="12"/>
    </row>
    <row r="2" spans="1:14" ht="15.75">
      <c r="A2" s="64" t="s">
        <v>9</v>
      </c>
      <c r="C2" s="12"/>
      <c r="D2" s="12"/>
      <c r="E2" s="12"/>
      <c r="F2" s="12"/>
      <c r="G2" s="12"/>
      <c r="H2" s="12"/>
      <c r="I2" s="12"/>
      <c r="J2" s="12"/>
      <c r="K2" s="12"/>
      <c r="L2" s="12"/>
      <c r="M2" s="12"/>
      <c r="N2" s="12"/>
    </row>
    <row r="3" spans="1:14">
      <c r="A3" s="26" t="s">
        <v>76</v>
      </c>
      <c r="C3" s="12"/>
      <c r="D3" s="12"/>
      <c r="E3" s="12"/>
      <c r="F3" s="12"/>
      <c r="G3" s="12"/>
      <c r="H3" s="12"/>
      <c r="I3" s="12"/>
      <c r="J3" s="12"/>
      <c r="K3" s="12"/>
      <c r="L3" s="12"/>
      <c r="M3" s="12"/>
      <c r="N3" s="12"/>
    </row>
    <row r="4" spans="1:14">
      <c r="A4" s="12"/>
      <c r="C4" s="12"/>
      <c r="D4" s="12"/>
      <c r="E4" s="27" t="s">
        <v>0</v>
      </c>
      <c r="F4" s="12"/>
      <c r="G4" s="12"/>
      <c r="H4" s="12"/>
      <c r="I4" s="12"/>
      <c r="J4" s="12"/>
      <c r="K4" s="12"/>
      <c r="L4" s="12"/>
      <c r="M4" s="12"/>
      <c r="N4" s="12"/>
    </row>
    <row r="5" spans="1:14" ht="16.5" thickBot="1">
      <c r="A5" s="64"/>
      <c r="C5" s="12"/>
      <c r="D5" s="12"/>
      <c r="E5" s="12"/>
      <c r="F5" s="12"/>
      <c r="G5" s="12"/>
      <c r="H5" s="12"/>
      <c r="I5" s="12"/>
      <c r="J5" s="12"/>
      <c r="K5" s="12"/>
      <c r="L5" s="12"/>
      <c r="M5" s="12"/>
      <c r="N5" s="12"/>
    </row>
    <row r="6" spans="1:14" ht="18.75" thickBot="1">
      <c r="A6" s="279" t="str">
        <f>+'S&amp;D'!A12</f>
        <v>Electric Wholesale (non-regulated) Power Generator</v>
      </c>
      <c r="B6" s="302"/>
      <c r="C6" s="207"/>
      <c r="D6" s="12"/>
      <c r="E6" s="12"/>
      <c r="F6" s="12"/>
      <c r="G6" s="12"/>
      <c r="H6" s="12"/>
    </row>
    <row r="7" spans="1:14" ht="16.5" thickBot="1">
      <c r="A7" s="64"/>
      <c r="C7" s="29"/>
      <c r="D7" s="29"/>
      <c r="E7" s="29"/>
      <c r="F7" s="29"/>
      <c r="G7" s="29"/>
      <c r="H7" s="12"/>
    </row>
    <row r="8" spans="1:14" ht="20.25">
      <c r="C8" s="12"/>
      <c r="D8" s="12"/>
      <c r="E8" s="32" t="s">
        <v>371</v>
      </c>
      <c r="F8" s="12"/>
      <c r="G8" s="12"/>
      <c r="H8" s="12"/>
    </row>
    <row r="9" spans="1:14" ht="18.75" thickBot="1">
      <c r="B9" s="31"/>
      <c r="C9" s="29"/>
      <c r="D9" s="29"/>
      <c r="E9" s="33" t="s">
        <v>90</v>
      </c>
      <c r="F9" s="29"/>
      <c r="G9" s="29"/>
      <c r="H9" s="12"/>
    </row>
    <row r="10" spans="1:14" ht="15.75" thickBot="1">
      <c r="B10" s="34" t="s">
        <v>0</v>
      </c>
      <c r="C10" s="34" t="s">
        <v>0</v>
      </c>
      <c r="D10" s="34" t="s">
        <v>0</v>
      </c>
      <c r="E10" s="34" t="s">
        <v>0</v>
      </c>
      <c r="F10" s="34" t="s">
        <v>0</v>
      </c>
      <c r="G10" s="34" t="s">
        <v>0</v>
      </c>
      <c r="H10" s="29"/>
    </row>
    <row r="11" spans="1:14">
      <c r="B11" s="35" t="s">
        <v>0</v>
      </c>
      <c r="C11" s="35" t="s">
        <v>3</v>
      </c>
      <c r="D11" s="35" t="s">
        <v>0</v>
      </c>
      <c r="E11" s="35" t="s">
        <v>372</v>
      </c>
      <c r="F11" s="35" t="s">
        <v>251</v>
      </c>
      <c r="G11" s="35" t="s">
        <v>373</v>
      </c>
      <c r="H11" s="35" t="s">
        <v>373</v>
      </c>
    </row>
    <row r="12" spans="1:14" ht="15.75" thickBot="1">
      <c r="B12" s="37" t="s">
        <v>2</v>
      </c>
      <c r="C12" s="37" t="s">
        <v>4</v>
      </c>
      <c r="D12" s="37" t="s">
        <v>28</v>
      </c>
      <c r="E12" s="37" t="s">
        <v>184</v>
      </c>
      <c r="F12" s="37" t="s">
        <v>374</v>
      </c>
      <c r="G12" s="37" t="s">
        <v>395</v>
      </c>
      <c r="H12" s="37" t="s">
        <v>29</v>
      </c>
    </row>
    <row r="13" spans="1:14">
      <c r="B13" s="39" t="s">
        <v>0</v>
      </c>
      <c r="C13" s="39" t="s">
        <v>0</v>
      </c>
      <c r="D13" s="40" t="s">
        <v>129</v>
      </c>
      <c r="E13" s="39" t="s">
        <v>130</v>
      </c>
      <c r="F13" s="39" t="s">
        <v>0</v>
      </c>
      <c r="G13" s="39" t="s">
        <v>130</v>
      </c>
      <c r="H13" s="39" t="s">
        <v>0</v>
      </c>
    </row>
    <row r="14" spans="1:14">
      <c r="B14" s="35"/>
      <c r="C14" s="35"/>
      <c r="D14" s="35"/>
      <c r="E14" s="35"/>
      <c r="F14" s="35"/>
      <c r="G14" s="35"/>
      <c r="H14" s="35"/>
    </row>
    <row r="15" spans="1:14">
      <c r="B15" s="12"/>
      <c r="C15" s="12"/>
      <c r="D15" s="12"/>
      <c r="E15" s="12"/>
      <c r="F15" s="12"/>
      <c r="G15" s="12"/>
      <c r="H15" s="12"/>
    </row>
    <row r="16" spans="1:14" ht="15.75">
      <c r="B16" s="64" t="str">
        <f>+'S&amp;D'!A22</f>
        <v>AES CORPORATION</v>
      </c>
      <c r="C16" s="91" t="str">
        <f>+'S&amp;D'!B22</f>
        <v>AES</v>
      </c>
      <c r="D16" s="196">
        <f>+'S&amp;D'!G22</f>
        <v>28.76</v>
      </c>
      <c r="E16" s="309">
        <v>28.04</v>
      </c>
      <c r="F16" s="73">
        <f>D16/E16</f>
        <v>1.0256776034236805</v>
      </c>
      <c r="G16" s="309">
        <v>47.06</v>
      </c>
      <c r="H16" s="369">
        <f>D16/G16</f>
        <v>0.61113472163195925</v>
      </c>
    </row>
    <row r="17" spans="1:8" ht="15.75">
      <c r="B17" s="64" t="str">
        <f>+'S&amp;D'!A23</f>
        <v>DOMINION ENERGY INC</v>
      </c>
      <c r="C17" s="91" t="str">
        <f>+'S&amp;D'!B23</f>
        <v>D</v>
      </c>
      <c r="D17" s="196">
        <f>+'S&amp;D'!G23</f>
        <v>61.32</v>
      </c>
      <c r="E17" s="309">
        <v>16.739999999999998</v>
      </c>
      <c r="F17" s="369">
        <f t="shared" ref="F17:F21" si="0">D17/E17</f>
        <v>3.6630824372759858</v>
      </c>
      <c r="G17" s="309">
        <v>24.99</v>
      </c>
      <c r="H17" s="73">
        <f t="shared" ref="H17:H22" si="1">D17/G17</f>
        <v>2.4537815126050422</v>
      </c>
    </row>
    <row r="18" spans="1:8" ht="15.75">
      <c r="B18" s="64" t="str">
        <f>+'S&amp;D'!A24</f>
        <v>EXELON CORPORATION</v>
      </c>
      <c r="C18" s="91" t="str">
        <f>+'S&amp;D'!B24</f>
        <v>EXC</v>
      </c>
      <c r="D18" s="196">
        <f>+'S&amp;D'!G24</f>
        <v>43.23</v>
      </c>
      <c r="E18" s="309">
        <v>30.37</v>
      </c>
      <c r="F18" s="73">
        <f t="shared" si="0"/>
        <v>1.4234441883437601</v>
      </c>
      <c r="G18" s="309">
        <v>40.11</v>
      </c>
      <c r="H18" s="73">
        <f t="shared" si="1"/>
        <v>1.0777860882572923</v>
      </c>
    </row>
    <row r="19" spans="1:8" ht="15.75">
      <c r="B19" s="64" t="str">
        <f>+'S&amp;D'!A25</f>
        <v>NEXTERA ENERGY INC</v>
      </c>
      <c r="C19" s="91" t="str">
        <f>+'S&amp;D'!B25</f>
        <v>NEE</v>
      </c>
      <c r="D19" s="196">
        <f>+'S&amp;D'!G25</f>
        <v>83.6</v>
      </c>
      <c r="E19" s="309">
        <v>10.55</v>
      </c>
      <c r="F19" s="73">
        <f>D19/E19</f>
        <v>7.9241706161137433</v>
      </c>
      <c r="G19" s="309">
        <v>19.739999999999998</v>
      </c>
      <c r="H19" s="73">
        <f t="shared" ref="H19" si="2">D19/G19</f>
        <v>4.2350557244174265</v>
      </c>
    </row>
    <row r="20" spans="1:8" ht="15.75">
      <c r="B20" s="64" t="str">
        <f>+'S&amp;D'!A26</f>
        <v>NRG ENERGY</v>
      </c>
      <c r="C20" s="91" t="str">
        <f>+'S&amp;D'!B26</f>
        <v>NRG</v>
      </c>
      <c r="D20" s="196">
        <f>+'S&amp;D'!G26</f>
        <v>31.82</v>
      </c>
      <c r="E20" s="309">
        <v>38.200000000000003</v>
      </c>
      <c r="F20" s="73">
        <f>D20/E20</f>
        <v>0.83298429319371725</v>
      </c>
      <c r="G20" s="309">
        <v>46.6</v>
      </c>
      <c r="H20" s="73">
        <f t="shared" si="1"/>
        <v>0.68283261802575101</v>
      </c>
    </row>
    <row r="21" spans="1:8" ht="15.75">
      <c r="B21" s="64" t="str">
        <f>+'S&amp;D'!A27</f>
        <v>SOUTHERN COMPANY</v>
      </c>
      <c r="C21" s="91" t="str">
        <f>+'S&amp;D'!B27</f>
        <v>SO</v>
      </c>
      <c r="D21" s="196">
        <f>+'S&amp;D'!G27</f>
        <v>71.41</v>
      </c>
      <c r="E21" s="309">
        <v>14.8</v>
      </c>
      <c r="F21" s="73">
        <f t="shared" si="0"/>
        <v>4.8249999999999993</v>
      </c>
      <c r="G21" s="309">
        <v>15.95</v>
      </c>
      <c r="H21" s="73">
        <f t="shared" si="1"/>
        <v>4.4771159874608148</v>
      </c>
    </row>
    <row r="22" spans="1:8" ht="15.75">
      <c r="B22" s="64" t="str">
        <f>+'S&amp;D'!A28</f>
        <v>VISTRA ENERGY CORPORATION</v>
      </c>
      <c r="C22" s="91" t="str">
        <f>+'S&amp;D'!B28</f>
        <v>VST</v>
      </c>
      <c r="D22" s="196">
        <f>+'S&amp;D'!G28</f>
        <v>23.2</v>
      </c>
      <c r="E22" s="309">
        <v>29.5</v>
      </c>
      <c r="F22" s="73">
        <f t="shared" ref="F22" si="3">D22/E22</f>
        <v>0.78644067796610162</v>
      </c>
      <c r="G22" s="309">
        <v>24.1</v>
      </c>
      <c r="H22" s="73">
        <f t="shared" si="1"/>
        <v>0.96265560165975095</v>
      </c>
    </row>
    <row r="23" spans="1:8" ht="10.5" customHeight="1" thickBot="1">
      <c r="B23" s="12"/>
      <c r="C23" s="72"/>
      <c r="D23" s="72"/>
      <c r="E23" s="72"/>
      <c r="F23" s="72"/>
      <c r="G23" s="72"/>
      <c r="H23" s="72"/>
    </row>
    <row r="24" spans="1:8" ht="15.75" thickTop="1">
      <c r="B24" s="12"/>
      <c r="D24" s="14" t="s">
        <v>53</v>
      </c>
      <c r="E24" s="16">
        <v>38.200000000000003</v>
      </c>
      <c r="F24" s="316">
        <v>4.83</v>
      </c>
      <c r="G24" s="16">
        <v>47.06</v>
      </c>
      <c r="H24" s="16">
        <v>4.4800000000000004</v>
      </c>
    </row>
    <row r="25" spans="1:8">
      <c r="B25" s="12"/>
      <c r="D25" s="14" t="s">
        <v>54</v>
      </c>
      <c r="E25" s="358">
        <v>10.55</v>
      </c>
      <c r="F25" s="320">
        <v>0.79</v>
      </c>
      <c r="G25" s="358">
        <v>15.95</v>
      </c>
      <c r="H25" s="358">
        <v>0.61</v>
      </c>
    </row>
    <row r="26" spans="1:8">
      <c r="B26" s="12"/>
      <c r="D26" s="14" t="s">
        <v>18</v>
      </c>
      <c r="E26" s="58" t="s">
        <v>0</v>
      </c>
      <c r="F26" s="21">
        <f>MEDIAN(F16:F22)</f>
        <v>1.4234441883437601</v>
      </c>
      <c r="G26" s="58" t="s">
        <v>0</v>
      </c>
      <c r="H26" s="21">
        <f>MEDIAN(H16:H22)</f>
        <v>1.0777860882572923</v>
      </c>
    </row>
    <row r="27" spans="1:8">
      <c r="B27" s="12"/>
      <c r="D27" s="14" t="s">
        <v>457</v>
      </c>
      <c r="E27" s="74" t="s">
        <v>0</v>
      </c>
      <c r="F27" s="21">
        <f>AVERAGE(F16:F22)</f>
        <v>2.9258285451881414</v>
      </c>
      <c r="G27" s="74" t="s">
        <v>0</v>
      </c>
      <c r="H27" s="21">
        <f>AVERAGE(H16:H22)</f>
        <v>2.0714803220082909</v>
      </c>
    </row>
    <row r="28" spans="1:8" ht="15.75" thickBot="1">
      <c r="B28" s="12"/>
      <c r="C28" s="12"/>
      <c r="D28" s="12"/>
      <c r="E28" s="12"/>
      <c r="F28" s="12"/>
      <c r="G28" s="12"/>
      <c r="H28" s="12"/>
    </row>
    <row r="29" spans="1:8" ht="21" thickBot="1">
      <c r="B29" s="76" t="s">
        <v>0</v>
      </c>
      <c r="C29" s="12"/>
      <c r="D29" s="24" t="s">
        <v>140</v>
      </c>
      <c r="E29" s="24"/>
      <c r="F29" s="430">
        <v>2.93</v>
      </c>
      <c r="G29" s="364"/>
      <c r="H29" s="430">
        <v>2.0699999999999998</v>
      </c>
    </row>
    <row r="30" spans="1:8" ht="16.5">
      <c r="B30" s="76" t="s">
        <v>0</v>
      </c>
      <c r="C30" s="12"/>
      <c r="D30" s="12"/>
      <c r="E30" s="12"/>
      <c r="F30" s="12"/>
      <c r="G30" s="12"/>
      <c r="H30" s="12"/>
    </row>
    <row r="31" spans="1:8" ht="16.5">
      <c r="B31" s="76"/>
      <c r="C31" s="12"/>
      <c r="D31" s="12"/>
      <c r="E31" s="12"/>
      <c r="F31" s="12"/>
      <c r="G31" s="12"/>
      <c r="H31" s="12"/>
    </row>
    <row r="32" spans="1:8" ht="16.5">
      <c r="A32" s="112" t="s">
        <v>375</v>
      </c>
      <c r="B32" s="76"/>
      <c r="C32" s="12"/>
      <c r="D32" s="12"/>
      <c r="E32" s="12"/>
      <c r="F32" s="12"/>
      <c r="G32" s="12"/>
      <c r="H32" s="12"/>
    </row>
    <row r="33" spans="1:8" ht="16.5">
      <c r="A33" s="112" t="s">
        <v>376</v>
      </c>
      <c r="B33" s="76"/>
      <c r="C33" s="12"/>
      <c r="D33" s="12"/>
      <c r="E33" s="12"/>
      <c r="F33" s="12"/>
      <c r="G33" s="12"/>
      <c r="H33" s="12"/>
    </row>
    <row r="34" spans="1:8">
      <c r="H34" s="12"/>
    </row>
    <row r="35" spans="1:8" ht="15.75">
      <c r="A35" s="112" t="s">
        <v>377</v>
      </c>
      <c r="H35" s="12"/>
    </row>
    <row r="36" spans="1:8" ht="15.75">
      <c r="A36" s="112" t="s">
        <v>378</v>
      </c>
    </row>
    <row r="37" spans="1:8" ht="15.75">
      <c r="A37" s="112" t="s">
        <v>379</v>
      </c>
    </row>
    <row r="43" spans="1:8" ht="15.75">
      <c r="A43" s="112"/>
      <c r="C43" s="289" t="s">
        <v>0</v>
      </c>
    </row>
    <row r="44" spans="1:8" ht="15.75">
      <c r="C44" s="289" t="s">
        <v>0</v>
      </c>
    </row>
    <row r="45" spans="1:8" ht="15.75">
      <c r="C45" s="289" t="s">
        <v>0</v>
      </c>
    </row>
  </sheetData>
  <pageMargins left="0.25" right="0.25" top="0.75" bottom="0.75" header="0.3" footer="0.3"/>
  <pageSetup scale="45" orientation="landscape" r:id="rId1"/>
  <rowBreaks count="1" manualBreakCount="1">
    <brk id="38"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K31"/>
  <sheetViews>
    <sheetView tabSelected="1" view="pageBreakPreview" topLeftCell="A6" zoomScale="80" zoomScaleNormal="80" zoomScaleSheetLayoutView="80" workbookViewId="0">
      <selection activeCell="G14" sqref="G14"/>
    </sheetView>
  </sheetViews>
  <sheetFormatPr defaultRowHeight="15"/>
  <cols>
    <col min="1" max="1" width="22.28515625" customWidth="1"/>
    <col min="2" max="2" width="39.7109375" customWidth="1"/>
    <col min="3" max="3" width="16.85546875" customWidth="1"/>
    <col min="4" max="4" width="35.28515625" customWidth="1"/>
    <col min="5" max="5" width="18" customWidth="1"/>
    <col min="6" max="6" width="20.85546875" bestFit="1" customWidth="1"/>
    <col min="7" max="7" width="22" customWidth="1"/>
    <col min="8" max="8" width="23.7109375" customWidth="1"/>
  </cols>
  <sheetData>
    <row r="1" spans="1:11" ht="20.25">
      <c r="A1" s="24" t="s">
        <v>1</v>
      </c>
      <c r="C1" s="12"/>
      <c r="D1" s="12"/>
      <c r="E1" s="12"/>
      <c r="F1" s="12"/>
      <c r="G1" s="12"/>
      <c r="H1" s="12"/>
      <c r="I1" s="12"/>
      <c r="J1" s="12"/>
      <c r="K1" s="12"/>
    </row>
    <row r="2" spans="1:11" ht="15.75">
      <c r="A2" s="25" t="s">
        <v>9</v>
      </c>
      <c r="C2" s="12"/>
      <c r="D2" s="12"/>
      <c r="E2" s="12"/>
      <c r="F2" s="12"/>
      <c r="G2" s="12"/>
      <c r="H2" s="12"/>
      <c r="I2" s="12"/>
      <c r="J2" s="12"/>
      <c r="K2" s="12"/>
    </row>
    <row r="3" spans="1:11" ht="17.25" customHeight="1">
      <c r="A3" s="26" t="s">
        <v>76</v>
      </c>
      <c r="C3" s="12"/>
      <c r="D3" s="12"/>
      <c r="E3" s="12"/>
      <c r="F3" s="12"/>
      <c r="G3" s="12"/>
      <c r="H3" s="12"/>
      <c r="I3" s="12"/>
      <c r="J3" s="12"/>
      <c r="K3" s="12"/>
    </row>
    <row r="4" spans="1:11" ht="17.25" customHeight="1">
      <c r="B4" s="26"/>
      <c r="C4" s="12"/>
      <c r="D4" s="12"/>
      <c r="E4" s="12"/>
      <c r="F4" s="12"/>
      <c r="G4" s="12"/>
      <c r="H4" s="12"/>
      <c r="I4" s="12"/>
      <c r="J4" s="12"/>
      <c r="K4" s="12"/>
    </row>
    <row r="5" spans="1:11" ht="17.25" customHeight="1">
      <c r="B5" s="156"/>
      <c r="C5" s="12"/>
      <c r="D5" s="12"/>
      <c r="E5" s="12"/>
      <c r="F5" s="12"/>
      <c r="G5" s="12"/>
      <c r="H5" s="12"/>
      <c r="I5" s="12"/>
      <c r="J5" s="12"/>
      <c r="K5" s="12"/>
    </row>
    <row r="6" spans="1:11" ht="17.25" customHeight="1">
      <c r="B6" s="156"/>
      <c r="C6" s="12"/>
      <c r="D6" s="12"/>
      <c r="E6" s="12"/>
      <c r="F6" s="12"/>
      <c r="G6" s="12"/>
      <c r="H6" s="12"/>
      <c r="I6" s="12"/>
      <c r="J6" s="12"/>
      <c r="K6" s="12"/>
    </row>
    <row r="7" spans="1:11" ht="17.25" customHeight="1">
      <c r="B7" s="156"/>
      <c r="C7" s="12"/>
      <c r="D7" s="12"/>
      <c r="E7" s="12"/>
      <c r="F7" s="12"/>
      <c r="G7" s="12"/>
      <c r="H7" s="12"/>
      <c r="I7" s="12"/>
      <c r="J7" s="12"/>
      <c r="K7" s="12"/>
    </row>
    <row r="8" spans="1:11">
      <c r="B8" s="26"/>
      <c r="C8" s="12"/>
      <c r="D8" s="12"/>
      <c r="E8" s="12"/>
      <c r="F8" s="12"/>
      <c r="G8" s="12"/>
      <c r="H8" s="12"/>
      <c r="I8" s="12"/>
      <c r="J8" s="12"/>
      <c r="K8" s="12"/>
    </row>
    <row r="9" spans="1:11" ht="18">
      <c r="B9" s="12"/>
      <c r="C9" s="12"/>
      <c r="D9" s="79" t="s">
        <v>0</v>
      </c>
      <c r="E9" s="12"/>
      <c r="F9" s="12"/>
      <c r="G9" s="12"/>
      <c r="H9" s="12"/>
      <c r="I9" s="12"/>
      <c r="J9" s="12"/>
      <c r="K9" s="12"/>
    </row>
    <row r="10" spans="1:11" ht="18">
      <c r="B10" s="12"/>
      <c r="C10" s="12"/>
      <c r="D10" s="79" t="s">
        <v>78</v>
      </c>
      <c r="E10" s="12"/>
      <c r="F10" s="12"/>
      <c r="G10" s="12"/>
      <c r="H10" s="12"/>
      <c r="I10" s="12"/>
      <c r="J10" s="12"/>
      <c r="K10" s="12"/>
    </row>
    <row r="11" spans="1:11">
      <c r="B11" s="12"/>
      <c r="C11" s="12"/>
      <c r="D11" s="12"/>
      <c r="E11" s="12"/>
      <c r="F11" s="12"/>
      <c r="G11" s="12"/>
      <c r="H11" s="12"/>
      <c r="I11" s="12"/>
      <c r="J11" s="12"/>
      <c r="K11" s="12"/>
    </row>
    <row r="12" spans="1:11">
      <c r="B12" s="12"/>
      <c r="C12" s="12"/>
      <c r="D12" s="12"/>
      <c r="E12" s="12"/>
      <c r="F12" s="12"/>
      <c r="G12" s="12"/>
      <c r="H12" s="12"/>
      <c r="I12" s="12"/>
      <c r="J12" s="12"/>
      <c r="K12" s="12"/>
    </row>
    <row r="13" spans="1:11">
      <c r="B13" s="12"/>
      <c r="C13" s="12"/>
      <c r="D13" s="12"/>
      <c r="E13" s="27"/>
      <c r="F13" s="12"/>
      <c r="G13" s="12"/>
      <c r="H13" s="12"/>
      <c r="I13" s="12"/>
      <c r="J13" s="12"/>
      <c r="K13" s="12"/>
    </row>
    <row r="14" spans="1:11">
      <c r="B14" s="12"/>
      <c r="C14" s="12"/>
      <c r="D14" s="12"/>
      <c r="E14" s="12"/>
      <c r="F14" s="12"/>
      <c r="G14" s="12"/>
      <c r="H14" s="12"/>
      <c r="I14" s="12"/>
      <c r="J14" s="12"/>
      <c r="K14" s="12"/>
    </row>
    <row r="15" spans="1:11" ht="15.75" thickBot="1">
      <c r="B15" s="12"/>
      <c r="C15" s="29"/>
      <c r="D15" s="29"/>
      <c r="E15" s="29"/>
      <c r="F15" s="12"/>
      <c r="G15" s="12"/>
      <c r="H15" s="12"/>
      <c r="I15" s="12"/>
      <c r="J15" s="12"/>
      <c r="K15" s="12"/>
    </row>
    <row r="16" spans="1:11" ht="20.25">
      <c r="B16" s="12"/>
      <c r="C16" s="12"/>
      <c r="D16" s="32" t="str">
        <f>+'S&amp;D'!A12</f>
        <v>Electric Wholesale (non-regulated) Power Generator</v>
      </c>
      <c r="E16" s="12"/>
      <c r="F16" s="12"/>
      <c r="G16" s="12"/>
      <c r="H16" s="12"/>
      <c r="I16" s="12"/>
      <c r="J16" s="12"/>
      <c r="K16" s="12"/>
    </row>
    <row r="17" spans="2:11" ht="15.75" thickBot="1">
      <c r="B17" s="12"/>
      <c r="C17" s="29"/>
      <c r="D17" s="37" t="s">
        <v>0</v>
      </c>
      <c r="E17" s="29"/>
      <c r="F17" s="12"/>
      <c r="G17" s="12"/>
      <c r="H17" s="12"/>
      <c r="I17" s="12"/>
      <c r="J17" s="12"/>
      <c r="K17" s="12"/>
    </row>
    <row r="18" spans="2:11" ht="15.75" thickBot="1">
      <c r="B18" s="29"/>
      <c r="C18" s="29"/>
      <c r="D18" s="37" t="s">
        <v>0</v>
      </c>
      <c r="E18" s="29"/>
      <c r="F18" s="29"/>
      <c r="G18" s="29"/>
      <c r="H18" s="12"/>
      <c r="I18" s="12"/>
      <c r="J18" s="12"/>
      <c r="K18" s="12"/>
    </row>
    <row r="19" spans="2:11">
      <c r="B19" s="35" t="s">
        <v>32</v>
      </c>
      <c r="C19" s="35" t="s">
        <v>33</v>
      </c>
      <c r="D19" s="35" t="s">
        <v>34</v>
      </c>
      <c r="E19" s="35" t="s">
        <v>82</v>
      </c>
      <c r="F19" s="35" t="s">
        <v>34</v>
      </c>
      <c r="G19" s="35" t="s">
        <v>35</v>
      </c>
      <c r="H19" s="12"/>
      <c r="I19" s="12"/>
      <c r="J19" s="12"/>
      <c r="K19" s="12"/>
    </row>
    <row r="20" spans="2:11" ht="15.75" thickBot="1">
      <c r="B20" s="37" t="s">
        <v>33</v>
      </c>
      <c r="C20" s="37" t="s">
        <v>36</v>
      </c>
      <c r="D20" s="37" t="s">
        <v>37</v>
      </c>
      <c r="E20" s="37" t="s">
        <v>23</v>
      </c>
      <c r="F20" s="37" t="s">
        <v>38</v>
      </c>
      <c r="G20" s="37" t="s">
        <v>39</v>
      </c>
      <c r="H20" s="12"/>
      <c r="I20" s="12"/>
      <c r="J20" s="12"/>
      <c r="K20" s="12"/>
    </row>
    <row r="21" spans="2:11">
      <c r="B21" s="39" t="s">
        <v>0</v>
      </c>
      <c r="C21" s="39" t="s">
        <v>0</v>
      </c>
      <c r="D21" s="39" t="s">
        <v>0</v>
      </c>
      <c r="E21" s="39" t="s">
        <v>0</v>
      </c>
      <c r="F21" s="39" t="s">
        <v>0</v>
      </c>
      <c r="G21" s="39" t="s">
        <v>0</v>
      </c>
      <c r="H21" s="12"/>
      <c r="I21" s="12"/>
      <c r="J21" s="12"/>
      <c r="K21" s="12"/>
    </row>
    <row r="22" spans="2:11">
      <c r="B22" s="35"/>
      <c r="C22" s="35"/>
      <c r="D22" s="35"/>
      <c r="E22" s="35"/>
      <c r="F22" s="35"/>
      <c r="G22" s="35"/>
      <c r="H22" s="12"/>
      <c r="I22" s="12"/>
      <c r="J22" s="12"/>
      <c r="K22" s="12"/>
    </row>
    <row r="23" spans="2:11" ht="15.75">
      <c r="B23" s="91" t="s">
        <v>40</v>
      </c>
      <c r="C23" s="148">
        <f>'S&amp;D'!J50</f>
        <v>0.54</v>
      </c>
      <c r="D23" s="148">
        <f>+'Indicated Yield Equity Rate '!D54</f>
        <v>9.4899999999999998E-2</v>
      </c>
      <c r="E23" s="107" t="s">
        <v>41</v>
      </c>
      <c r="F23" s="148">
        <f>+D23</f>
        <v>9.4899999999999998E-2</v>
      </c>
      <c r="G23" s="149">
        <f>+F23*C23</f>
        <v>5.1246E-2</v>
      </c>
      <c r="H23" s="12"/>
      <c r="I23" s="12"/>
      <c r="J23" s="12"/>
      <c r="K23" s="12"/>
    </row>
    <row r="24" spans="2:11" ht="15.75">
      <c r="B24" s="91" t="s">
        <v>0</v>
      </c>
      <c r="C24" s="107" t="s">
        <v>0</v>
      </c>
      <c r="D24" s="107" t="s">
        <v>0</v>
      </c>
      <c r="E24" s="107" t="s">
        <v>0</v>
      </c>
      <c r="F24" s="150" t="s">
        <v>0</v>
      </c>
      <c r="G24" s="131" t="s">
        <v>0</v>
      </c>
      <c r="H24" s="12"/>
      <c r="I24" s="12"/>
      <c r="J24" s="12"/>
      <c r="K24" s="12"/>
    </row>
    <row r="25" spans="2:11" ht="15.75">
      <c r="B25" s="91" t="s">
        <v>42</v>
      </c>
      <c r="C25" s="148">
        <f>'S&amp;D'!K50</f>
        <v>0.46</v>
      </c>
      <c r="D25" s="148">
        <f>+'Yield Debt'!J29</f>
        <v>6.3899999999999998E-2</v>
      </c>
      <c r="E25" s="148">
        <v>0.26</v>
      </c>
      <c r="F25" s="148">
        <f>+D25*(1-E25)</f>
        <v>4.7286000000000002E-2</v>
      </c>
      <c r="G25" s="149">
        <f>+C25*F25</f>
        <v>2.1751560000000003E-2</v>
      </c>
      <c r="H25" s="12"/>
      <c r="I25" s="12"/>
      <c r="J25" s="12"/>
      <c r="K25" s="12"/>
    </row>
    <row r="26" spans="2:11" ht="16.5" thickBot="1">
      <c r="B26" s="100" t="s">
        <v>0</v>
      </c>
      <c r="C26" s="100" t="s">
        <v>0</v>
      </c>
      <c r="D26" s="100" t="s">
        <v>0</v>
      </c>
      <c r="E26" s="100" t="s">
        <v>0</v>
      </c>
      <c r="F26" s="151" t="s">
        <v>0</v>
      </c>
      <c r="G26" s="152" t="s">
        <v>0</v>
      </c>
      <c r="H26" s="12"/>
      <c r="I26" s="12"/>
      <c r="J26" s="12"/>
      <c r="K26" s="12"/>
    </row>
    <row r="27" spans="2:11" ht="15.75">
      <c r="B27" s="91" t="s">
        <v>85</v>
      </c>
      <c r="C27" s="153">
        <f>+C23+C25</f>
        <v>1</v>
      </c>
      <c r="D27" s="91" t="s">
        <v>0</v>
      </c>
      <c r="E27" s="91" t="s">
        <v>0</v>
      </c>
      <c r="F27" s="154" t="s">
        <v>0</v>
      </c>
      <c r="G27" s="149">
        <f>+G23+G25</f>
        <v>7.2997560000000003E-2</v>
      </c>
      <c r="H27" s="12"/>
      <c r="I27" s="12"/>
      <c r="J27" s="12"/>
      <c r="K27" s="12"/>
    </row>
    <row r="28" spans="2:11" ht="16.5" thickBot="1">
      <c r="B28" s="64"/>
      <c r="C28" s="64"/>
      <c r="D28" s="64"/>
      <c r="E28" s="64"/>
      <c r="F28" s="64"/>
      <c r="G28" s="155"/>
      <c r="H28" s="12"/>
      <c r="I28" s="12"/>
      <c r="J28" s="12"/>
      <c r="K28" s="12"/>
    </row>
    <row r="29" spans="2:11" ht="16.5" thickBot="1">
      <c r="B29" s="12"/>
      <c r="C29" s="12"/>
      <c r="D29" s="12"/>
      <c r="E29" s="12"/>
      <c r="F29" s="217" t="s">
        <v>88</v>
      </c>
      <c r="G29" s="201">
        <v>7.2999999999999995E-2</v>
      </c>
      <c r="H29" s="12"/>
      <c r="I29" s="12"/>
      <c r="J29" s="12"/>
      <c r="K29" s="12"/>
    </row>
    <row r="30" spans="2:11">
      <c r="B30" s="12"/>
      <c r="C30" s="12"/>
      <c r="D30" s="12"/>
      <c r="E30" s="12"/>
      <c r="F30" s="12"/>
      <c r="G30" s="12"/>
      <c r="H30" s="12"/>
      <c r="I30" s="12"/>
      <c r="J30" s="12"/>
      <c r="K30" s="12"/>
    </row>
    <row r="31" spans="2:11">
      <c r="B31" s="12"/>
      <c r="C31" s="12"/>
      <c r="D31" s="12"/>
      <c r="E31" s="12"/>
      <c r="F31" s="12"/>
      <c r="G31" s="12"/>
      <c r="H31" s="12"/>
      <c r="I31" s="12"/>
      <c r="J31" s="12"/>
      <c r="K31" s="12"/>
    </row>
  </sheetData>
  <pageMargins left="0.25" right="0.25" top="0.75" bottom="0.75" header="0.3" footer="0.3"/>
  <pageSetup scale="6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
  <sheetViews>
    <sheetView workbookViewId="0">
      <selection activeCell="R10" sqref="R10"/>
    </sheetView>
  </sheetViews>
  <sheetFormatPr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5631F-B284-4F75-B05C-C409AB53D71E}">
  <sheetPr>
    <tabColor rgb="FF92D050"/>
    <pageSetUpPr fitToPage="1"/>
  </sheetPr>
  <dimension ref="A1:K64"/>
  <sheetViews>
    <sheetView view="pageBreakPreview" topLeftCell="A42" zoomScale="80" zoomScaleNormal="80" zoomScaleSheetLayoutView="80" workbookViewId="0">
      <selection activeCell="G63" sqref="G63"/>
    </sheetView>
  </sheetViews>
  <sheetFormatPr defaultRowHeight="15"/>
  <cols>
    <col min="1" max="1" width="17.28515625" customWidth="1"/>
    <col min="2" max="2" width="31.7109375" customWidth="1"/>
    <col min="3" max="3" width="16.5703125" customWidth="1"/>
    <col min="4" max="4" width="35.28515625" customWidth="1"/>
    <col min="5" max="5" width="14.85546875" customWidth="1"/>
    <col min="6" max="6" width="25.85546875" customWidth="1"/>
    <col min="7" max="7" width="24.140625" customWidth="1"/>
    <col min="8" max="8" width="17.7109375" customWidth="1"/>
  </cols>
  <sheetData>
    <row r="1" spans="1:11" ht="20.25">
      <c r="A1" s="24" t="s">
        <v>1</v>
      </c>
      <c r="C1" s="12"/>
      <c r="D1" s="12"/>
      <c r="E1" s="12"/>
      <c r="F1" s="12"/>
      <c r="G1" s="12"/>
      <c r="H1" s="12"/>
      <c r="I1" s="12"/>
      <c r="J1" s="12"/>
      <c r="K1" s="12"/>
    </row>
    <row r="2" spans="1:11" ht="15.75">
      <c r="A2" s="25" t="s">
        <v>9</v>
      </c>
      <c r="C2" s="12"/>
      <c r="D2" s="12"/>
      <c r="E2" s="12"/>
      <c r="F2" s="12"/>
      <c r="G2" s="12"/>
      <c r="H2" s="12"/>
      <c r="I2" s="12"/>
      <c r="J2" s="12"/>
      <c r="K2" s="12"/>
    </row>
    <row r="3" spans="1:11">
      <c r="A3" s="26" t="s">
        <v>76</v>
      </c>
      <c r="C3" s="12"/>
      <c r="D3" s="12"/>
      <c r="E3" s="12"/>
      <c r="F3" s="12"/>
      <c r="G3" s="12"/>
      <c r="H3" s="12"/>
      <c r="I3" s="12"/>
      <c r="J3" s="12"/>
      <c r="K3" s="12"/>
    </row>
    <row r="4" spans="1:11">
      <c r="B4" s="26"/>
      <c r="C4" s="12"/>
      <c r="D4" s="12"/>
      <c r="E4" s="12"/>
      <c r="F4" s="12"/>
      <c r="G4" s="12"/>
      <c r="H4" s="12"/>
      <c r="I4" s="12"/>
      <c r="J4" s="12"/>
      <c r="K4" s="12"/>
    </row>
    <row r="5" spans="1:11">
      <c r="B5" s="26"/>
      <c r="C5" s="12"/>
      <c r="D5" s="12"/>
      <c r="E5" s="12"/>
      <c r="F5" s="12"/>
      <c r="G5" s="12"/>
      <c r="H5" s="12"/>
      <c r="I5" s="12"/>
      <c r="J5" s="12"/>
      <c r="K5" s="12"/>
    </row>
    <row r="6" spans="1:11">
      <c r="B6" s="26"/>
      <c r="C6" s="12"/>
      <c r="D6" s="12"/>
      <c r="E6" s="12"/>
      <c r="F6" s="12"/>
      <c r="G6" s="12"/>
      <c r="H6" s="12"/>
      <c r="I6" s="12"/>
      <c r="J6" s="12"/>
      <c r="K6" s="12"/>
    </row>
    <row r="7" spans="1:11">
      <c r="B7" s="26"/>
      <c r="C7" s="12"/>
      <c r="D7" s="12"/>
      <c r="E7" s="12"/>
      <c r="F7" s="12"/>
      <c r="G7" s="12"/>
      <c r="H7" s="12"/>
      <c r="I7" s="12"/>
      <c r="J7" s="12"/>
      <c r="K7" s="12"/>
    </row>
    <row r="8" spans="1:11">
      <c r="B8" s="26"/>
      <c r="C8" s="12"/>
      <c r="D8" s="12"/>
      <c r="E8" s="12"/>
      <c r="F8" s="12"/>
      <c r="G8" s="12"/>
      <c r="H8" s="12"/>
      <c r="I8" s="12"/>
      <c r="J8" s="12"/>
      <c r="K8" s="12"/>
    </row>
    <row r="9" spans="1:11">
      <c r="B9" s="26"/>
      <c r="C9" s="12"/>
      <c r="D9" s="12"/>
      <c r="E9" s="12"/>
      <c r="F9" s="12"/>
      <c r="G9" s="12"/>
      <c r="H9" s="12"/>
      <c r="I9" s="12"/>
      <c r="J9" s="12"/>
      <c r="K9" s="12"/>
    </row>
    <row r="10" spans="1:11" ht="18">
      <c r="B10" s="12"/>
      <c r="C10" s="12"/>
      <c r="D10" s="79" t="s">
        <v>0</v>
      </c>
      <c r="E10" s="12"/>
      <c r="F10" s="12"/>
      <c r="G10" s="12"/>
      <c r="H10" s="12"/>
      <c r="I10" s="12"/>
      <c r="J10" s="12"/>
      <c r="K10" s="12"/>
    </row>
    <row r="11" spans="1:11" ht="18">
      <c r="B11" s="12"/>
      <c r="C11" s="12"/>
      <c r="D11" s="79" t="s">
        <v>77</v>
      </c>
      <c r="E11" s="12"/>
      <c r="F11" s="12"/>
      <c r="G11" s="12"/>
      <c r="H11" s="12"/>
      <c r="I11" s="12"/>
      <c r="J11" s="12"/>
      <c r="K11" s="12"/>
    </row>
    <row r="12" spans="1:11">
      <c r="B12" s="12"/>
      <c r="C12" s="12"/>
      <c r="D12" s="12"/>
      <c r="E12" s="12"/>
      <c r="F12" s="12"/>
      <c r="G12" s="12"/>
      <c r="H12" s="12"/>
      <c r="I12" s="12"/>
      <c r="J12" s="12"/>
      <c r="K12" s="12"/>
    </row>
    <row r="13" spans="1:11">
      <c r="B13" s="12"/>
      <c r="C13" s="12"/>
      <c r="D13" s="12"/>
      <c r="E13" s="12"/>
      <c r="F13" s="12"/>
      <c r="G13" s="12"/>
      <c r="H13" s="12"/>
      <c r="I13" s="12"/>
      <c r="J13" s="12"/>
      <c r="K13" s="12"/>
    </row>
    <row r="14" spans="1:11" ht="15.75" thickBot="1">
      <c r="B14" s="12"/>
      <c r="C14" s="29"/>
      <c r="D14" s="29"/>
      <c r="E14" s="29"/>
      <c r="F14" s="12"/>
      <c r="G14" s="12"/>
      <c r="H14" s="12"/>
      <c r="I14" s="12"/>
      <c r="J14" s="12"/>
      <c r="K14" s="12"/>
    </row>
    <row r="15" spans="1:11" ht="20.25">
      <c r="B15" s="12"/>
      <c r="C15" s="12"/>
      <c r="D15" s="32" t="str">
        <f>+'S&amp;D'!A12</f>
        <v>Electric Wholesale (non-regulated) Power Generator</v>
      </c>
      <c r="E15" s="12"/>
      <c r="F15" s="12"/>
      <c r="G15" s="12"/>
      <c r="H15" s="12"/>
      <c r="I15" s="12"/>
      <c r="J15" s="12"/>
      <c r="K15" s="12"/>
    </row>
    <row r="16" spans="1:11" ht="18.75" thickBot="1">
      <c r="B16" s="12"/>
      <c r="C16" s="29"/>
      <c r="D16" s="147" t="s">
        <v>84</v>
      </c>
      <c r="E16" s="29"/>
      <c r="F16" s="12"/>
      <c r="G16" s="12"/>
      <c r="H16" s="12"/>
      <c r="I16" s="12"/>
      <c r="J16" s="12"/>
      <c r="K16" s="12"/>
    </row>
    <row r="17" spans="2:11">
      <c r="H17" s="12"/>
      <c r="I17" s="12"/>
      <c r="J17" s="12"/>
      <c r="K17" s="12"/>
    </row>
    <row r="18" spans="2:11" ht="15.75" thickBot="1">
      <c r="B18" s="29"/>
      <c r="C18" s="29"/>
      <c r="D18" s="37" t="s">
        <v>0</v>
      </c>
      <c r="E18" s="29"/>
      <c r="F18" s="29"/>
      <c r="G18" s="29"/>
      <c r="H18" s="12"/>
      <c r="I18" s="12"/>
      <c r="J18" s="12"/>
      <c r="K18" s="12"/>
    </row>
    <row r="19" spans="2:11">
      <c r="B19" s="35" t="s">
        <v>32</v>
      </c>
      <c r="C19" s="35" t="s">
        <v>33</v>
      </c>
      <c r="D19" s="35" t="s">
        <v>81</v>
      </c>
      <c r="E19" s="35" t="s">
        <v>82</v>
      </c>
      <c r="F19" s="35" t="s">
        <v>80</v>
      </c>
      <c r="G19" s="35" t="s">
        <v>35</v>
      </c>
      <c r="H19" s="12"/>
      <c r="I19" s="12"/>
      <c r="J19" s="12"/>
      <c r="K19" s="12"/>
    </row>
    <row r="20" spans="2:11" ht="15.75" thickBot="1">
      <c r="B20" s="37" t="s">
        <v>33</v>
      </c>
      <c r="C20" s="37" t="s">
        <v>36</v>
      </c>
      <c r="D20" s="37" t="s">
        <v>37</v>
      </c>
      <c r="E20" s="37" t="s">
        <v>23</v>
      </c>
      <c r="F20" s="37" t="s">
        <v>38</v>
      </c>
      <c r="G20" s="37" t="s">
        <v>83</v>
      </c>
      <c r="H20" s="12"/>
      <c r="I20" s="12"/>
      <c r="J20" s="12"/>
      <c r="K20" s="12"/>
    </row>
    <row r="21" spans="2:11">
      <c r="B21" s="39" t="s">
        <v>0</v>
      </c>
      <c r="C21" s="39" t="s">
        <v>0</v>
      </c>
      <c r="D21" s="39" t="s">
        <v>0</v>
      </c>
      <c r="E21" s="39" t="s">
        <v>0</v>
      </c>
      <c r="F21" s="39" t="s">
        <v>0</v>
      </c>
      <c r="G21" s="39" t="s">
        <v>0</v>
      </c>
      <c r="H21" s="12"/>
      <c r="I21" s="12"/>
      <c r="J21" s="12"/>
      <c r="K21" s="12"/>
    </row>
    <row r="22" spans="2:11">
      <c r="B22" s="35"/>
      <c r="C22" s="35"/>
      <c r="D22" s="35"/>
      <c r="E22" s="35"/>
      <c r="F22" s="35"/>
      <c r="G22" s="35"/>
      <c r="H22" s="12"/>
      <c r="I22" s="12"/>
      <c r="J22" s="12"/>
      <c r="K22" s="12"/>
    </row>
    <row r="23" spans="2:11" ht="15.75">
      <c r="B23" s="91" t="s">
        <v>40</v>
      </c>
      <c r="C23" s="148">
        <f>'S&amp;D'!J50</f>
        <v>0.54</v>
      </c>
      <c r="D23" s="148">
        <f>+'Direct NOPAT'!J33</f>
        <v>7.7249999999999999E-2</v>
      </c>
      <c r="E23" s="107" t="s">
        <v>41</v>
      </c>
      <c r="F23" s="148">
        <f>+D23</f>
        <v>7.7249999999999999E-2</v>
      </c>
      <c r="G23" s="149">
        <f>+F23*C23</f>
        <v>4.1715000000000002E-2</v>
      </c>
      <c r="H23" s="12"/>
      <c r="I23" s="12"/>
      <c r="J23" s="12"/>
      <c r="K23" s="12"/>
    </row>
    <row r="24" spans="2:11" ht="15.75">
      <c r="B24" s="91" t="s">
        <v>0</v>
      </c>
      <c r="C24" s="107" t="s">
        <v>0</v>
      </c>
      <c r="D24" s="107" t="s">
        <v>0</v>
      </c>
      <c r="E24" s="107" t="s">
        <v>0</v>
      </c>
      <c r="F24" s="150" t="s">
        <v>0</v>
      </c>
      <c r="G24" s="131" t="s">
        <v>0</v>
      </c>
      <c r="H24" s="12"/>
      <c r="I24" s="12"/>
      <c r="J24" s="12"/>
      <c r="K24" s="12"/>
    </row>
    <row r="25" spans="2:11" ht="15.75">
      <c r="B25" s="91" t="s">
        <v>42</v>
      </c>
      <c r="C25" s="148">
        <f>'S&amp;D'!K50</f>
        <v>0.46</v>
      </c>
      <c r="D25" s="148">
        <f>+'Direct Debt'!I32</f>
        <v>4.1599999999999998E-2</v>
      </c>
      <c r="E25" s="148">
        <v>0.26</v>
      </c>
      <c r="F25" s="148">
        <f>+D25*(1-E25)</f>
        <v>3.0783999999999999E-2</v>
      </c>
      <c r="G25" s="149">
        <f>+C25*F25</f>
        <v>1.416064E-2</v>
      </c>
      <c r="H25" s="12"/>
      <c r="I25" s="12"/>
      <c r="J25" s="12"/>
      <c r="K25" s="12"/>
    </row>
    <row r="26" spans="2:11" ht="16.5" thickBot="1">
      <c r="B26" s="100" t="s">
        <v>0</v>
      </c>
      <c r="C26" s="100" t="s">
        <v>0</v>
      </c>
      <c r="D26" s="100" t="s">
        <v>0</v>
      </c>
      <c r="E26" s="100" t="s">
        <v>0</v>
      </c>
      <c r="F26" s="151" t="s">
        <v>0</v>
      </c>
      <c r="G26" s="152" t="s">
        <v>0</v>
      </c>
      <c r="H26" s="12"/>
      <c r="I26" s="12"/>
      <c r="J26" s="12"/>
      <c r="K26" s="12"/>
    </row>
    <row r="27" spans="2:11" ht="15.75">
      <c r="B27" s="91" t="s">
        <v>43</v>
      </c>
      <c r="C27" s="153">
        <f>+C23+C25</f>
        <v>1</v>
      </c>
      <c r="D27" s="91" t="s">
        <v>0</v>
      </c>
      <c r="E27" s="91" t="s">
        <v>0</v>
      </c>
      <c r="F27" s="154" t="s">
        <v>0</v>
      </c>
      <c r="G27" s="149">
        <f>+G23+G25</f>
        <v>5.5875640000000004E-2</v>
      </c>
      <c r="H27" s="12"/>
      <c r="I27" s="12"/>
      <c r="J27" s="12"/>
      <c r="K27" s="12"/>
    </row>
    <row r="28" spans="2:11" ht="16.5" thickBot="1">
      <c r="B28" s="64"/>
      <c r="C28" s="64"/>
      <c r="D28" s="64"/>
      <c r="E28" s="64"/>
      <c r="F28" s="64"/>
      <c r="G28" s="155"/>
      <c r="H28" s="12"/>
      <c r="I28" s="12"/>
      <c r="J28" s="12"/>
      <c r="K28" s="12"/>
    </row>
    <row r="29" spans="2:11" ht="16.5" thickBot="1">
      <c r="B29" s="12"/>
      <c r="C29" s="12"/>
      <c r="D29" s="12"/>
      <c r="E29" s="12"/>
      <c r="F29" s="217" t="s">
        <v>88</v>
      </c>
      <c r="G29" s="201">
        <v>5.5899999999999998E-2</v>
      </c>
      <c r="H29" s="12"/>
      <c r="I29" s="12"/>
      <c r="J29" s="12"/>
      <c r="K29" s="12"/>
    </row>
    <row r="30" spans="2:11" ht="16.5" thickBot="1">
      <c r="B30" s="12"/>
      <c r="C30" s="12"/>
      <c r="D30" s="12"/>
      <c r="E30" s="12"/>
      <c r="F30" s="154"/>
      <c r="G30" s="149"/>
      <c r="H30" s="12"/>
      <c r="I30" s="12"/>
      <c r="J30" s="12"/>
      <c r="K30" s="12"/>
    </row>
    <row r="31" spans="2:11" ht="16.5" thickBot="1">
      <c r="B31" s="12"/>
      <c r="C31" s="12"/>
      <c r="D31" s="12"/>
      <c r="E31" s="12"/>
      <c r="F31" s="217" t="s">
        <v>252</v>
      </c>
      <c r="G31" s="253">
        <f>1/G29</f>
        <v>17.889087656529519</v>
      </c>
      <c r="H31" s="12"/>
      <c r="I31" s="12"/>
      <c r="J31" s="12"/>
      <c r="K31" s="12"/>
    </row>
    <row r="32" spans="2:11" ht="15.75">
      <c r="B32" s="12"/>
      <c r="C32" s="12"/>
      <c r="D32" s="12"/>
      <c r="E32" s="12"/>
      <c r="F32" s="154"/>
      <c r="G32" s="149"/>
      <c r="H32" s="12"/>
      <c r="I32" s="12"/>
      <c r="J32" s="12"/>
      <c r="K32" s="12"/>
    </row>
    <row r="33" spans="1:11" ht="15.75">
      <c r="B33" s="12"/>
      <c r="C33" s="12"/>
      <c r="D33" s="12"/>
      <c r="E33" s="12"/>
      <c r="F33" s="154"/>
      <c r="G33" s="149"/>
      <c r="H33" s="12"/>
      <c r="I33" s="12"/>
      <c r="J33" s="12"/>
      <c r="K33" s="12"/>
    </row>
    <row r="34" spans="1:11" ht="20.25">
      <c r="A34" s="24" t="s">
        <v>1</v>
      </c>
      <c r="C34" s="12"/>
      <c r="D34" s="12"/>
      <c r="E34" s="12"/>
      <c r="F34" s="154"/>
      <c r="G34" s="149"/>
      <c r="H34" s="12"/>
      <c r="I34" s="12"/>
      <c r="J34" s="12"/>
      <c r="K34" s="12"/>
    </row>
    <row r="35" spans="1:11" ht="15.75">
      <c r="A35" s="25" t="s">
        <v>9</v>
      </c>
      <c r="C35" s="12"/>
      <c r="D35" s="12"/>
      <c r="E35" s="12"/>
      <c r="F35" s="154"/>
      <c r="G35" s="149"/>
      <c r="H35" s="12"/>
      <c r="I35" s="12"/>
      <c r="J35" s="12"/>
      <c r="K35" s="12"/>
    </row>
    <row r="36" spans="1:11" ht="15.75">
      <c r="A36" s="26" t="s">
        <v>76</v>
      </c>
      <c r="C36" s="12"/>
      <c r="D36" s="12"/>
      <c r="E36" s="12"/>
      <c r="F36" s="154"/>
      <c r="G36" s="149"/>
      <c r="H36" s="12"/>
      <c r="I36" s="12"/>
      <c r="J36" s="12"/>
      <c r="K36" s="12"/>
    </row>
    <row r="37" spans="1:11" ht="15.75">
      <c r="A37" s="26"/>
      <c r="C37" s="12"/>
      <c r="D37" s="12"/>
      <c r="E37" s="12"/>
      <c r="F37" s="154"/>
      <c r="G37" s="149"/>
      <c r="H37" s="12"/>
      <c r="I37" s="12"/>
      <c r="J37" s="12"/>
      <c r="K37" s="12"/>
    </row>
    <row r="38" spans="1:11" ht="15.75">
      <c r="A38" s="26"/>
      <c r="C38" s="12"/>
      <c r="D38" s="12"/>
      <c r="E38" s="12"/>
      <c r="F38" s="154"/>
      <c r="G38" s="149"/>
      <c r="H38" s="12"/>
      <c r="I38" s="12"/>
      <c r="J38" s="12"/>
      <c r="K38" s="12"/>
    </row>
    <row r="39" spans="1:11" ht="15.75">
      <c r="A39" s="26"/>
      <c r="C39" s="12"/>
      <c r="D39" s="12"/>
      <c r="E39" s="12"/>
      <c r="F39" s="154"/>
      <c r="G39" s="149"/>
      <c r="H39" s="12"/>
      <c r="I39" s="12"/>
      <c r="J39" s="12"/>
      <c r="K39" s="12"/>
    </row>
    <row r="40" spans="1:11" ht="15.75">
      <c r="A40" s="26"/>
      <c r="C40" s="12"/>
      <c r="D40" s="12"/>
      <c r="E40" s="12"/>
      <c r="F40" s="154"/>
      <c r="G40" s="149"/>
      <c r="H40" s="12"/>
      <c r="I40" s="12"/>
      <c r="J40" s="12"/>
      <c r="K40" s="12"/>
    </row>
    <row r="41" spans="1:11" ht="15.75">
      <c r="A41" s="26"/>
      <c r="C41" s="12"/>
      <c r="D41" s="12"/>
      <c r="E41" s="12"/>
      <c r="F41" s="154"/>
      <c r="G41" s="149"/>
      <c r="H41" s="12"/>
      <c r="I41" s="12"/>
      <c r="J41" s="12"/>
      <c r="K41" s="12"/>
    </row>
    <row r="42" spans="1:11" ht="15.75">
      <c r="A42" s="26"/>
      <c r="C42" s="12"/>
      <c r="D42" s="12"/>
      <c r="E42" s="12"/>
      <c r="F42" s="154"/>
      <c r="G42" s="149"/>
      <c r="H42" s="12"/>
      <c r="I42" s="12"/>
      <c r="J42" s="12"/>
      <c r="K42" s="12"/>
    </row>
    <row r="43" spans="1:11" ht="15.75">
      <c r="A43" s="26"/>
      <c r="C43" s="12"/>
      <c r="D43" s="12"/>
      <c r="E43" s="12"/>
      <c r="F43" s="154"/>
      <c r="G43" s="149"/>
      <c r="H43" s="12"/>
      <c r="I43" s="12"/>
      <c r="J43" s="12"/>
      <c r="K43" s="12"/>
    </row>
    <row r="44" spans="1:11" ht="18">
      <c r="A44" s="26"/>
      <c r="C44" s="12"/>
      <c r="D44" s="79" t="s">
        <v>77</v>
      </c>
      <c r="E44" s="12"/>
      <c r="F44" s="154"/>
      <c r="G44" s="149"/>
      <c r="H44" s="12"/>
      <c r="I44" s="12"/>
      <c r="J44" s="12"/>
      <c r="K44" s="12"/>
    </row>
    <row r="45" spans="1:11" ht="18">
      <c r="A45" s="26"/>
      <c r="C45" s="12"/>
      <c r="D45" s="79"/>
      <c r="E45" s="12"/>
      <c r="F45" s="154"/>
      <c r="G45" s="149"/>
      <c r="H45" s="12"/>
      <c r="I45" s="12"/>
      <c r="J45" s="12"/>
      <c r="K45" s="12"/>
    </row>
    <row r="46" spans="1:11" ht="18">
      <c r="A46" s="26"/>
      <c r="C46" s="12"/>
      <c r="D46" s="79"/>
      <c r="E46" s="12"/>
      <c r="F46" s="154"/>
      <c r="G46" s="149"/>
      <c r="H46" s="12"/>
      <c r="I46" s="12"/>
      <c r="J46" s="12"/>
      <c r="K46" s="12"/>
    </row>
    <row r="47" spans="1:11" ht="15.75" thickBot="1">
      <c r="B47" s="12"/>
      <c r="C47" s="29"/>
      <c r="D47" s="29"/>
      <c r="E47" s="29"/>
      <c r="F47" s="12"/>
      <c r="G47" s="12"/>
      <c r="H47" s="12"/>
      <c r="I47" s="12"/>
      <c r="J47" s="12"/>
      <c r="K47" s="12"/>
    </row>
    <row r="48" spans="1:11" ht="20.25">
      <c r="B48" s="12"/>
      <c r="C48" s="12"/>
      <c r="D48" s="32" t="str">
        <f>+'S&amp;D'!A12</f>
        <v>Electric Wholesale (non-regulated) Power Generator</v>
      </c>
      <c r="E48" s="12"/>
      <c r="F48" s="12"/>
      <c r="G48" s="12"/>
      <c r="H48" s="12"/>
      <c r="I48" s="12"/>
      <c r="J48" s="12"/>
      <c r="K48" s="12"/>
    </row>
    <row r="49" spans="2:11" ht="18.75" thickBot="1">
      <c r="B49" s="12"/>
      <c r="C49" s="29"/>
      <c r="D49" s="147" t="s">
        <v>79</v>
      </c>
      <c r="E49" s="29"/>
      <c r="F49" s="12"/>
      <c r="G49" s="12"/>
      <c r="H49" s="12"/>
      <c r="I49" s="12"/>
      <c r="J49" s="12"/>
      <c r="K49" s="12"/>
    </row>
    <row r="50" spans="2:11">
      <c r="B50" s="12"/>
      <c r="C50" s="12"/>
      <c r="D50" s="12"/>
      <c r="E50" s="12"/>
      <c r="F50" s="12"/>
      <c r="G50" s="12"/>
      <c r="H50" s="12"/>
      <c r="I50" s="12"/>
      <c r="J50" s="12"/>
      <c r="K50" s="12"/>
    </row>
    <row r="51" spans="2:11" ht="15.75" thickBot="1">
      <c r="B51" s="29"/>
      <c r="C51" s="29"/>
      <c r="D51" s="37" t="s">
        <v>0</v>
      </c>
      <c r="E51" s="29"/>
      <c r="F51" s="29"/>
      <c r="G51" s="29"/>
      <c r="H51" s="12"/>
      <c r="I51" s="12"/>
      <c r="J51" s="12"/>
      <c r="K51" s="12"/>
    </row>
    <row r="52" spans="2:11">
      <c r="B52" s="35" t="s">
        <v>32</v>
      </c>
      <c r="C52" s="35" t="s">
        <v>33</v>
      </c>
      <c r="D52" s="35" t="s">
        <v>81</v>
      </c>
      <c r="E52" s="35" t="s">
        <v>82</v>
      </c>
      <c r="F52" s="35" t="s">
        <v>80</v>
      </c>
      <c r="G52" s="35" t="s">
        <v>35</v>
      </c>
      <c r="H52" s="12"/>
      <c r="I52" s="12"/>
      <c r="J52" s="12"/>
      <c r="K52" s="12"/>
    </row>
    <row r="53" spans="2:11" ht="15.75" thickBot="1">
      <c r="B53" s="37" t="s">
        <v>33</v>
      </c>
      <c r="C53" s="37" t="s">
        <v>36</v>
      </c>
      <c r="D53" s="37" t="s">
        <v>37</v>
      </c>
      <c r="E53" s="37" t="s">
        <v>23</v>
      </c>
      <c r="F53" s="37" t="s">
        <v>38</v>
      </c>
      <c r="G53" s="37" t="s">
        <v>83</v>
      </c>
      <c r="H53" s="12"/>
      <c r="I53" s="12"/>
      <c r="J53" s="12"/>
      <c r="K53" s="12"/>
    </row>
    <row r="54" spans="2:11">
      <c r="B54" s="39" t="s">
        <v>0</v>
      </c>
      <c r="C54" s="39" t="s">
        <v>0</v>
      </c>
      <c r="D54" s="39" t="s">
        <v>0</v>
      </c>
      <c r="E54" s="39" t="s">
        <v>0</v>
      </c>
      <c r="F54" s="39" t="s">
        <v>0</v>
      </c>
      <c r="G54" s="39" t="s">
        <v>0</v>
      </c>
      <c r="H54" s="12"/>
      <c r="I54" s="12"/>
      <c r="J54" s="12"/>
      <c r="K54" s="12"/>
    </row>
    <row r="55" spans="2:11">
      <c r="B55" s="35"/>
      <c r="C55" s="35"/>
      <c r="D55" s="35"/>
      <c r="E55" s="35"/>
      <c r="F55" s="35"/>
      <c r="G55" s="35"/>
      <c r="H55" s="12"/>
      <c r="I55" s="12"/>
      <c r="J55" s="12"/>
      <c r="K55" s="12"/>
    </row>
    <row r="56" spans="2:11" ht="15.75">
      <c r="B56" s="91" t="s">
        <v>40</v>
      </c>
      <c r="C56" s="148">
        <f>'S&amp;D'!J50</f>
        <v>0.54</v>
      </c>
      <c r="D56" s="148">
        <f>'Direct GCF'!F30</f>
        <v>0.1087</v>
      </c>
      <c r="E56" s="107" t="s">
        <v>41</v>
      </c>
      <c r="F56" s="148">
        <f>+D56</f>
        <v>0.1087</v>
      </c>
      <c r="G56" s="149">
        <f>+F56*C56</f>
        <v>5.8698000000000007E-2</v>
      </c>
      <c r="H56" s="12"/>
      <c r="I56" s="12"/>
      <c r="J56" s="12"/>
      <c r="K56" s="12"/>
    </row>
    <row r="57" spans="2:11" ht="15.75">
      <c r="B57" s="91" t="s">
        <v>0</v>
      </c>
      <c r="C57" s="107" t="s">
        <v>0</v>
      </c>
      <c r="D57" s="107" t="s">
        <v>0</v>
      </c>
      <c r="E57" s="107" t="s">
        <v>0</v>
      </c>
      <c r="F57" s="150" t="s">
        <v>0</v>
      </c>
      <c r="G57" s="131" t="s">
        <v>0</v>
      </c>
      <c r="H57" s="12"/>
      <c r="I57" s="12"/>
      <c r="J57" s="12"/>
      <c r="K57" s="12"/>
    </row>
    <row r="58" spans="2:11" ht="15.75">
      <c r="B58" s="91" t="s">
        <v>42</v>
      </c>
      <c r="C58" s="148">
        <f>'S&amp;D'!K50</f>
        <v>0.46</v>
      </c>
      <c r="D58" s="148">
        <f>+'Direct Debt'!I32</f>
        <v>4.1599999999999998E-2</v>
      </c>
      <c r="E58" s="148">
        <v>0.26</v>
      </c>
      <c r="F58" s="148">
        <f>+D58*(1-E58)</f>
        <v>3.0783999999999999E-2</v>
      </c>
      <c r="G58" s="149">
        <f>+C58*F58</f>
        <v>1.416064E-2</v>
      </c>
      <c r="H58" s="12"/>
      <c r="I58" s="12"/>
      <c r="J58" s="12"/>
      <c r="K58" s="12"/>
    </row>
    <row r="59" spans="2:11" ht="16.5" thickBot="1">
      <c r="B59" s="100" t="s">
        <v>0</v>
      </c>
      <c r="C59" s="100" t="s">
        <v>0</v>
      </c>
      <c r="D59" s="100" t="s">
        <v>0</v>
      </c>
      <c r="E59" s="100" t="s">
        <v>0</v>
      </c>
      <c r="F59" s="151" t="s">
        <v>0</v>
      </c>
      <c r="G59" s="152" t="s">
        <v>0</v>
      </c>
      <c r="H59" s="12"/>
      <c r="I59" s="12"/>
      <c r="J59" s="12"/>
      <c r="K59" s="12"/>
    </row>
    <row r="60" spans="2:11" ht="15.75">
      <c r="B60" s="91" t="s">
        <v>43</v>
      </c>
      <c r="C60" s="153">
        <f>+C56+C58</f>
        <v>1</v>
      </c>
      <c r="D60" s="91" t="s">
        <v>0</v>
      </c>
      <c r="E60" s="91" t="s">
        <v>0</v>
      </c>
      <c r="F60" s="154" t="s">
        <v>0</v>
      </c>
      <c r="G60" s="149">
        <f>+G56+G58</f>
        <v>7.2858640000000002E-2</v>
      </c>
      <c r="H60" s="12"/>
      <c r="I60" s="12"/>
      <c r="J60" s="12"/>
      <c r="K60" s="12"/>
    </row>
    <row r="61" spans="2:11" ht="16.5" thickBot="1">
      <c r="B61" s="64"/>
      <c r="C61" s="64"/>
      <c r="D61" s="64"/>
      <c r="E61" s="64"/>
      <c r="F61" s="64"/>
      <c r="G61" s="155"/>
      <c r="H61" s="12"/>
      <c r="I61" s="12"/>
      <c r="J61" s="12"/>
      <c r="K61" s="12"/>
    </row>
    <row r="62" spans="2:11" ht="16.5" thickBot="1">
      <c r="B62" s="12"/>
      <c r="C62" s="12"/>
      <c r="D62" s="12"/>
      <c r="E62" s="12"/>
      <c r="F62" s="217" t="s">
        <v>88</v>
      </c>
      <c r="G62" s="201">
        <v>7.2900000000000006E-2</v>
      </c>
      <c r="H62" s="12"/>
      <c r="I62" s="12"/>
      <c r="J62" s="12"/>
      <c r="K62" s="12"/>
    </row>
    <row r="63" spans="2:11" ht="15.75" thickBot="1"/>
    <row r="64" spans="2:11" ht="16.5" thickBot="1">
      <c r="F64" s="217" t="s">
        <v>252</v>
      </c>
      <c r="G64" s="253">
        <f>1/G62</f>
        <v>13.717421124828531</v>
      </c>
    </row>
  </sheetData>
  <pageMargins left="0.25" right="0.25" top="0.75" bottom="0.75" header="0.3" footer="0.3"/>
  <pageSetup scale="72" fitToHeight="0" orientation="landscape" r:id="rId1"/>
  <rowBreaks count="1" manualBreakCount="1">
    <brk id="33" max="7"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M76"/>
  <sheetViews>
    <sheetView view="pageBreakPreview" zoomScale="60" zoomScaleNormal="80" zoomScalePageLayoutView="70" workbookViewId="0">
      <pane xSplit="1" topLeftCell="B1" activePane="topRight" state="frozen"/>
      <selection activeCell="F4" sqref="F4"/>
      <selection pane="topRight" activeCell="G61" sqref="G61"/>
    </sheetView>
  </sheetViews>
  <sheetFormatPr defaultRowHeight="15"/>
  <cols>
    <col min="1" max="1" width="68.7109375" customWidth="1"/>
    <col min="2" max="2" width="11.5703125" bestFit="1" customWidth="1"/>
    <col min="3" max="3" width="23.7109375" customWidth="1"/>
    <col min="4" max="4" width="25.5703125" bestFit="1" customWidth="1"/>
    <col min="5" max="5" width="28" customWidth="1"/>
    <col min="6" max="7" width="29.140625" customWidth="1"/>
    <col min="8" max="8" width="31.85546875" customWidth="1"/>
    <col min="9" max="9" width="31.5703125" customWidth="1"/>
    <col min="10" max="10" width="30.85546875" customWidth="1"/>
    <col min="11" max="11" width="31.42578125" customWidth="1"/>
    <col min="12" max="12" width="25.85546875" bestFit="1" customWidth="1"/>
    <col min="13" max="13" width="30.140625" bestFit="1" customWidth="1"/>
    <col min="14" max="14" width="9.140625" customWidth="1"/>
  </cols>
  <sheetData>
    <row r="1" spans="1:12" ht="20.25">
      <c r="A1" s="24" t="s">
        <v>1</v>
      </c>
      <c r="B1" s="12"/>
      <c r="C1" s="12"/>
      <c r="D1" s="12"/>
      <c r="E1" s="12"/>
      <c r="F1" s="12"/>
      <c r="G1" s="12"/>
      <c r="H1" s="12"/>
      <c r="I1" s="12"/>
      <c r="J1" s="12"/>
      <c r="K1" s="12"/>
    </row>
    <row r="2" spans="1:12" ht="15.75">
      <c r="A2" s="25" t="s">
        <v>9</v>
      </c>
      <c r="B2" s="12"/>
      <c r="C2" s="12"/>
      <c r="D2" s="12"/>
      <c r="E2" s="12"/>
      <c r="F2" s="12"/>
      <c r="G2" s="12"/>
      <c r="H2" s="12"/>
      <c r="I2" s="12"/>
      <c r="J2" s="12"/>
      <c r="K2" s="12"/>
    </row>
    <row r="3" spans="1:12">
      <c r="A3" s="26" t="s">
        <v>76</v>
      </c>
      <c r="B3" s="12"/>
      <c r="C3" s="12"/>
      <c r="D3" s="12"/>
      <c r="E3" s="12"/>
      <c r="F3" s="12"/>
      <c r="G3" s="12"/>
      <c r="H3" s="12"/>
      <c r="I3" s="12"/>
      <c r="J3" s="12"/>
      <c r="K3" s="12"/>
    </row>
    <row r="4" spans="1:12">
      <c r="A4" s="26"/>
      <c r="B4" s="12"/>
      <c r="C4" s="12"/>
      <c r="D4" s="12"/>
      <c r="E4" s="12"/>
      <c r="F4" s="214" t="s">
        <v>0</v>
      </c>
      <c r="G4" s="12"/>
      <c r="H4" s="12"/>
      <c r="I4" s="12"/>
      <c r="J4" s="12"/>
      <c r="K4" s="12"/>
    </row>
    <row r="5" spans="1:12">
      <c r="B5" s="12"/>
      <c r="C5" s="12"/>
      <c r="D5" s="12"/>
      <c r="E5" s="27"/>
      <c r="F5" s="214" t="s">
        <v>0</v>
      </c>
      <c r="G5" s="12"/>
      <c r="H5" s="12"/>
      <c r="I5" s="12"/>
      <c r="J5" s="12"/>
      <c r="K5" s="12" t="s">
        <v>0</v>
      </c>
    </row>
    <row r="6" spans="1:12">
      <c r="A6" s="12"/>
      <c r="B6" s="12"/>
      <c r="C6" s="12"/>
      <c r="D6" s="12"/>
      <c r="E6" s="12"/>
      <c r="F6" s="12"/>
      <c r="G6" s="12"/>
      <c r="H6" s="12"/>
      <c r="I6" s="12"/>
      <c r="J6" s="12"/>
      <c r="K6" s="12"/>
    </row>
    <row r="7" spans="1:12">
      <c r="A7" s="12"/>
      <c r="B7" s="35"/>
      <c r="C7" s="35"/>
      <c r="D7" s="35"/>
      <c r="E7" s="35"/>
      <c r="F7" s="35"/>
      <c r="G7" s="14"/>
      <c r="H7" s="44"/>
      <c r="I7" s="44"/>
      <c r="J7" s="86"/>
      <c r="K7" s="86"/>
      <c r="L7" s="3"/>
    </row>
    <row r="8" spans="1:12">
      <c r="A8" s="87"/>
      <c r="B8" s="35"/>
      <c r="C8" s="35"/>
      <c r="D8" s="35"/>
      <c r="E8" s="35"/>
      <c r="F8" s="35"/>
      <c r="G8" s="14"/>
      <c r="H8" s="44"/>
      <c r="I8" s="44"/>
      <c r="J8" s="86"/>
      <c r="K8" s="86"/>
      <c r="L8" s="3"/>
    </row>
    <row r="9" spans="1:12">
      <c r="A9" s="87"/>
      <c r="B9" s="35"/>
      <c r="C9" s="35"/>
      <c r="D9" s="35"/>
      <c r="E9" s="35"/>
      <c r="F9" s="35"/>
      <c r="G9" s="14"/>
      <c r="H9" s="44"/>
      <c r="I9" s="44"/>
      <c r="J9" s="86"/>
      <c r="K9" s="86"/>
      <c r="L9" s="3"/>
    </row>
    <row r="10" spans="1:12">
      <c r="A10" s="44"/>
      <c r="D10" s="44"/>
      <c r="E10" s="44"/>
      <c r="F10" s="44"/>
      <c r="G10" s="44"/>
      <c r="H10" s="44"/>
      <c r="I10" s="44"/>
      <c r="J10" s="44"/>
      <c r="K10" s="44"/>
      <c r="L10" s="2"/>
    </row>
    <row r="11" spans="1:12" ht="15.75" thickBot="1">
      <c r="A11" s="44"/>
      <c r="D11" s="44"/>
      <c r="E11" s="88"/>
      <c r="F11" s="29"/>
      <c r="G11" s="88"/>
      <c r="H11" s="44"/>
      <c r="I11" s="44"/>
      <c r="J11" s="44"/>
      <c r="K11" s="44"/>
      <c r="L11" s="2"/>
    </row>
    <row r="12" spans="1:12" ht="21" thickBot="1">
      <c r="A12" s="28" t="s">
        <v>475</v>
      </c>
      <c r="D12" s="44"/>
      <c r="E12" s="44"/>
      <c r="F12" s="32" t="s">
        <v>91</v>
      </c>
      <c r="G12" s="44"/>
      <c r="H12" s="44"/>
      <c r="I12" s="44"/>
      <c r="J12" s="44"/>
      <c r="K12" s="12"/>
    </row>
    <row r="13" spans="1:12" ht="18.75" thickBot="1">
      <c r="A13" s="31"/>
      <c r="D13" s="44"/>
      <c r="E13" s="88"/>
      <c r="F13" s="37" t="s">
        <v>90</v>
      </c>
      <c r="G13" s="88"/>
      <c r="H13" s="44"/>
      <c r="I13" s="44"/>
      <c r="J13" s="44" t="s">
        <v>0</v>
      </c>
      <c r="K13" s="12"/>
    </row>
    <row r="14" spans="1:12" ht="18">
      <c r="A14" s="31"/>
      <c r="B14" s="44"/>
      <c r="C14" s="44"/>
      <c r="D14" s="44"/>
      <c r="E14" s="44"/>
      <c r="F14" s="13" t="s">
        <v>0</v>
      </c>
      <c r="G14" s="44"/>
      <c r="H14" s="44"/>
      <c r="I14" s="44"/>
      <c r="J14" s="44"/>
      <c r="K14" s="12"/>
    </row>
    <row r="15" spans="1:12" ht="15.75" thickBot="1">
      <c r="A15" s="42" t="s">
        <v>0</v>
      </c>
      <c r="B15" s="42" t="s">
        <v>0</v>
      </c>
      <c r="C15" s="42" t="s">
        <v>0</v>
      </c>
      <c r="D15" s="42"/>
      <c r="E15" s="42"/>
      <c r="F15" s="42"/>
      <c r="G15" s="42" t="s">
        <v>0</v>
      </c>
      <c r="H15" s="88"/>
      <c r="I15" s="88"/>
      <c r="J15" s="88"/>
      <c r="K15" s="12"/>
    </row>
    <row r="16" spans="1:12" ht="15.75">
      <c r="A16" s="89"/>
      <c r="B16" s="90"/>
      <c r="C16" s="269"/>
      <c r="D16" s="92" t="s">
        <v>13</v>
      </c>
      <c r="E16" s="93" t="s">
        <v>13</v>
      </c>
      <c r="F16" s="92" t="s">
        <v>13</v>
      </c>
      <c r="G16" s="91" t="s">
        <v>262</v>
      </c>
      <c r="H16" s="94" t="s">
        <v>385</v>
      </c>
      <c r="I16" s="91" t="s">
        <v>385</v>
      </c>
      <c r="J16" s="94" t="s">
        <v>385</v>
      </c>
      <c r="K16" s="12"/>
    </row>
    <row r="17" spans="1:13" ht="15.75">
      <c r="A17" s="89" t="s">
        <v>0</v>
      </c>
      <c r="B17" s="90" t="s">
        <v>3</v>
      </c>
      <c r="C17" s="90" t="s">
        <v>5</v>
      </c>
      <c r="D17" s="92" t="s">
        <v>10</v>
      </c>
      <c r="E17" s="93" t="s">
        <v>10</v>
      </c>
      <c r="F17" s="92" t="s">
        <v>19</v>
      </c>
      <c r="G17" s="95" t="s">
        <v>385</v>
      </c>
      <c r="H17" s="90" t="s">
        <v>12</v>
      </c>
      <c r="I17" s="96" t="s">
        <v>11</v>
      </c>
      <c r="J17" s="97" t="s">
        <v>169</v>
      </c>
      <c r="K17" s="12"/>
    </row>
    <row r="18" spans="1:13" ht="15.75">
      <c r="A18" s="89" t="s">
        <v>2</v>
      </c>
      <c r="B18" s="90" t="s">
        <v>4</v>
      </c>
      <c r="C18" s="90" t="s">
        <v>6</v>
      </c>
      <c r="D18" s="92" t="s">
        <v>53</v>
      </c>
      <c r="E18" s="93" t="s">
        <v>54</v>
      </c>
      <c r="F18" s="92" t="s">
        <v>10</v>
      </c>
      <c r="G18" s="95" t="s">
        <v>10</v>
      </c>
      <c r="H18" s="90" t="s">
        <v>87</v>
      </c>
      <c r="I18" s="215"/>
      <c r="J18" s="97" t="s">
        <v>0</v>
      </c>
      <c r="K18" s="12" t="s">
        <v>0</v>
      </c>
    </row>
    <row r="19" spans="1:13" ht="16.5" thickBot="1">
      <c r="A19" s="98" t="s">
        <v>0</v>
      </c>
      <c r="B19" s="99" t="s">
        <v>0</v>
      </c>
      <c r="C19" s="99" t="s">
        <v>0</v>
      </c>
      <c r="D19" s="99" t="s">
        <v>0</v>
      </c>
      <c r="E19" s="100" t="s">
        <v>0</v>
      </c>
      <c r="F19" s="99" t="s">
        <v>0</v>
      </c>
      <c r="G19" s="100" t="s">
        <v>0</v>
      </c>
      <c r="H19" s="101" t="s">
        <v>75</v>
      </c>
      <c r="I19" s="102" t="s">
        <v>74</v>
      </c>
      <c r="J19" s="101" t="s">
        <v>74</v>
      </c>
      <c r="K19" s="12" t="s">
        <v>0</v>
      </c>
    </row>
    <row r="20" spans="1:13">
      <c r="A20" s="103" t="s">
        <v>7</v>
      </c>
      <c r="B20" s="104" t="s">
        <v>7</v>
      </c>
      <c r="C20" s="104" t="s">
        <v>7</v>
      </c>
      <c r="D20" s="104" t="s">
        <v>7</v>
      </c>
      <c r="E20" s="43" t="s">
        <v>7</v>
      </c>
      <c r="F20" s="104" t="s">
        <v>15</v>
      </c>
      <c r="G20" s="43" t="s">
        <v>7</v>
      </c>
      <c r="H20" s="104" t="s">
        <v>8</v>
      </c>
      <c r="I20" s="43" t="s">
        <v>8</v>
      </c>
      <c r="J20" s="104" t="s">
        <v>8</v>
      </c>
      <c r="K20" s="12"/>
    </row>
    <row r="21" spans="1:13" ht="15.75">
      <c r="A21" s="89"/>
      <c r="B21" s="90"/>
      <c r="C21" s="90"/>
      <c r="D21" s="90"/>
      <c r="E21" s="91"/>
      <c r="F21" s="90"/>
      <c r="G21" s="91"/>
      <c r="H21" s="90"/>
      <c r="I21" s="64"/>
      <c r="J21" s="105"/>
      <c r="K21" s="12"/>
    </row>
    <row r="22" spans="1:13" ht="15.75">
      <c r="A22" s="106" t="s">
        <v>419</v>
      </c>
      <c r="B22" s="81" t="s">
        <v>420</v>
      </c>
      <c r="C22" s="91" t="s">
        <v>432</v>
      </c>
      <c r="D22" s="108">
        <v>29.89</v>
      </c>
      <c r="E22" s="61">
        <v>22.78</v>
      </c>
      <c r="F22" s="108">
        <f>AVERAGE(D22,E22)</f>
        <v>26.335000000000001</v>
      </c>
      <c r="G22" s="61">
        <v>28.76</v>
      </c>
      <c r="H22" s="346">
        <f>668743464</f>
        <v>668743464</v>
      </c>
      <c r="I22" s="346">
        <v>838000000</v>
      </c>
      <c r="J22" s="346">
        <f>(19429000000+3894000000)</f>
        <v>23323000000</v>
      </c>
      <c r="K22" s="12" t="s">
        <v>0</v>
      </c>
    </row>
    <row r="23" spans="1:13" ht="15.75">
      <c r="A23" s="106" t="s">
        <v>421</v>
      </c>
      <c r="B23" s="81" t="s">
        <v>107</v>
      </c>
      <c r="C23" s="91" t="s">
        <v>432</v>
      </c>
      <c r="D23" s="108">
        <v>72.010000000000005</v>
      </c>
      <c r="E23" s="61">
        <v>57.18</v>
      </c>
      <c r="F23" s="108">
        <f t="shared" ref="F23:F28" si="0">AVERAGE(D23,E23)</f>
        <v>64.594999999999999</v>
      </c>
      <c r="G23" s="61">
        <v>61.32</v>
      </c>
      <c r="H23" s="346">
        <v>835000000</v>
      </c>
      <c r="I23" s="346">
        <v>1783000000</v>
      </c>
      <c r="J23" s="346">
        <f>38914000000+3341000000</f>
        <v>42255000000</v>
      </c>
      <c r="K23" s="12" t="s">
        <v>0</v>
      </c>
      <c r="L23" t="s">
        <v>0</v>
      </c>
    </row>
    <row r="24" spans="1:13" ht="15.75">
      <c r="A24" s="106" t="s">
        <v>422</v>
      </c>
      <c r="B24" s="81" t="s">
        <v>423</v>
      </c>
      <c r="C24" s="91" t="s">
        <v>432</v>
      </c>
      <c r="D24" s="108">
        <v>43.65</v>
      </c>
      <c r="E24" s="61">
        <v>35.19</v>
      </c>
      <c r="F24" s="108">
        <f t="shared" si="0"/>
        <v>39.42</v>
      </c>
      <c r="G24" s="61">
        <v>43.23</v>
      </c>
      <c r="H24" s="346">
        <v>994000000</v>
      </c>
      <c r="I24" s="346">
        <v>0</v>
      </c>
      <c r="J24" s="346">
        <f>35272000000+1802000000+390000000</f>
        <v>37464000000</v>
      </c>
    </row>
    <row r="25" spans="1:13" ht="15.75">
      <c r="A25" s="105" t="s">
        <v>441</v>
      </c>
      <c r="B25" s="81" t="s">
        <v>440</v>
      </c>
      <c r="C25" s="91" t="s">
        <v>432</v>
      </c>
      <c r="D25" s="108">
        <v>88.61</v>
      </c>
      <c r="E25" s="61">
        <v>70.39</v>
      </c>
      <c r="F25" s="108">
        <f>AVERAGE(D25,E25)</f>
        <v>79.5</v>
      </c>
      <c r="G25" s="61">
        <v>83.6</v>
      </c>
      <c r="H25" s="346">
        <v>1987495306</v>
      </c>
      <c r="I25" s="346">
        <v>0</v>
      </c>
      <c r="J25" s="346">
        <f>6633000000+55256000000</f>
        <v>61889000000</v>
      </c>
    </row>
    <row r="26" spans="1:13" ht="15.75">
      <c r="A26" s="109" t="s">
        <v>424</v>
      </c>
      <c r="B26" s="81" t="s">
        <v>425</v>
      </c>
      <c r="C26" s="91" t="s">
        <v>432</v>
      </c>
      <c r="D26" s="108">
        <v>45.8</v>
      </c>
      <c r="E26" s="61">
        <v>30.64</v>
      </c>
      <c r="F26" s="108">
        <f t="shared" si="0"/>
        <v>38.22</v>
      </c>
      <c r="G26" s="61">
        <v>31.82</v>
      </c>
      <c r="H26" s="346">
        <v>229561030</v>
      </c>
      <c r="I26" s="341">
        <v>0</v>
      </c>
      <c r="J26" s="346">
        <f>63000000+7976000000</f>
        <v>8039000000</v>
      </c>
      <c r="K26" s="12"/>
    </row>
    <row r="27" spans="1:13" ht="15.75">
      <c r="A27" s="106" t="s">
        <v>426</v>
      </c>
      <c r="B27" s="81" t="s">
        <v>55</v>
      </c>
      <c r="C27" s="91" t="s">
        <v>432</v>
      </c>
      <c r="D27" s="108">
        <v>72.83</v>
      </c>
      <c r="E27" s="61">
        <v>60.71</v>
      </c>
      <c r="F27" s="108">
        <f t="shared" si="0"/>
        <v>66.77</v>
      </c>
      <c r="G27" s="61">
        <v>71.41</v>
      </c>
      <c r="H27" s="346">
        <f>1090000000-1000000</f>
        <v>1089000000</v>
      </c>
      <c r="I27" s="341">
        <v>0</v>
      </c>
      <c r="J27" s="346">
        <f>50656000000+4285000000</f>
        <v>54941000000</v>
      </c>
      <c r="K27" s="12"/>
      <c r="L27" t="s">
        <v>0</v>
      </c>
    </row>
    <row r="28" spans="1:13" ht="16.5" thickBot="1">
      <c r="A28" s="110" t="s">
        <v>427</v>
      </c>
      <c r="B28" s="82" t="s">
        <v>428</v>
      </c>
      <c r="C28" s="99" t="s">
        <v>432</v>
      </c>
      <c r="D28" s="347">
        <v>25.03</v>
      </c>
      <c r="E28" s="348">
        <v>20.76</v>
      </c>
      <c r="F28" s="347">
        <f t="shared" si="0"/>
        <v>22.895000000000003</v>
      </c>
      <c r="G28" s="348">
        <v>23.2</v>
      </c>
      <c r="H28" s="350">
        <v>389754870</v>
      </c>
      <c r="I28" s="111">
        <v>2000000000</v>
      </c>
      <c r="J28" s="350">
        <f>38000000+11933000000</f>
        <v>11971000000</v>
      </c>
      <c r="K28" s="12"/>
      <c r="M28" s="10" t="s">
        <v>0</v>
      </c>
    </row>
    <row r="29" spans="1:13" ht="15.75">
      <c r="A29" s="112"/>
      <c r="B29" s="112"/>
      <c r="C29" s="112"/>
      <c r="D29" s="112"/>
      <c r="E29" s="112"/>
      <c r="F29" s="112"/>
      <c r="G29" s="112"/>
      <c r="H29" s="367" t="s">
        <v>0</v>
      </c>
      <c r="I29" s="112" t="s">
        <v>0</v>
      </c>
      <c r="J29" s="112"/>
      <c r="K29" s="12" t="s">
        <v>0</v>
      </c>
    </row>
    <row r="30" spans="1:13" ht="15.75">
      <c r="A30" s="112"/>
      <c r="B30" s="112"/>
      <c r="C30" s="112"/>
      <c r="D30" s="112"/>
      <c r="E30" s="112"/>
      <c r="F30" s="112"/>
      <c r="G30" s="112"/>
      <c r="H30" s="112"/>
      <c r="I30" s="112" t="s">
        <v>0</v>
      </c>
      <c r="J30" s="112" t="s">
        <v>0</v>
      </c>
      <c r="K30" s="12" t="s">
        <v>0</v>
      </c>
    </row>
    <row r="31" spans="1:13" ht="16.5" thickBot="1">
      <c r="A31" s="113" t="s">
        <v>0</v>
      </c>
      <c r="B31" s="114"/>
      <c r="C31" s="114"/>
      <c r="D31" s="114"/>
      <c r="E31" s="114"/>
      <c r="F31" s="29"/>
      <c r="G31" s="114"/>
      <c r="H31" s="114"/>
      <c r="I31" s="114"/>
      <c r="J31" s="112"/>
      <c r="K31" s="112"/>
      <c r="L31" s="4"/>
    </row>
    <row r="32" spans="1:13" ht="15.75">
      <c r="A32" s="115"/>
      <c r="B32" s="116"/>
      <c r="C32" s="116"/>
      <c r="D32" s="116"/>
      <c r="E32" s="117" t="s">
        <v>0</v>
      </c>
      <c r="F32" s="117" t="s">
        <v>0</v>
      </c>
      <c r="H32" s="118"/>
      <c r="I32" s="116"/>
      <c r="J32" s="115"/>
      <c r="K32" s="119"/>
      <c r="L32" s="4"/>
    </row>
    <row r="33" spans="1:12" ht="15.75">
      <c r="A33" s="89"/>
      <c r="B33" s="91"/>
      <c r="C33" s="91"/>
      <c r="D33" s="95" t="s">
        <v>385</v>
      </c>
      <c r="E33" s="91" t="s">
        <v>385</v>
      </c>
      <c r="F33" s="91" t="s">
        <v>385</v>
      </c>
      <c r="G33" s="91" t="s">
        <v>385</v>
      </c>
      <c r="H33" s="95" t="s">
        <v>385</v>
      </c>
      <c r="I33" s="95" t="s">
        <v>385</v>
      </c>
      <c r="J33" s="351" t="s">
        <v>385</v>
      </c>
      <c r="K33" s="120" t="s">
        <v>385</v>
      </c>
      <c r="L33" s="5"/>
    </row>
    <row r="34" spans="1:12" ht="15.75">
      <c r="A34" s="89" t="s">
        <v>0</v>
      </c>
      <c r="B34" s="91" t="s">
        <v>3</v>
      </c>
      <c r="C34" s="91" t="s">
        <v>5</v>
      </c>
      <c r="D34" s="91" t="s">
        <v>12</v>
      </c>
      <c r="E34" s="107" t="s">
        <v>168</v>
      </c>
      <c r="F34" s="107" t="s">
        <v>317</v>
      </c>
      <c r="G34" s="107" t="s">
        <v>434</v>
      </c>
      <c r="H34" s="91" t="s">
        <v>227</v>
      </c>
      <c r="I34" s="107" t="s">
        <v>16</v>
      </c>
      <c r="J34" s="352" t="s">
        <v>17</v>
      </c>
      <c r="K34" s="121" t="s">
        <v>61</v>
      </c>
      <c r="L34" s="5"/>
    </row>
    <row r="35" spans="1:12" ht="16.5" thickBot="1">
      <c r="A35" s="98" t="s">
        <v>2</v>
      </c>
      <c r="B35" s="100" t="s">
        <v>4</v>
      </c>
      <c r="C35" s="100" t="s">
        <v>6</v>
      </c>
      <c r="D35" s="100" t="s">
        <v>14</v>
      </c>
      <c r="E35" s="100" t="s">
        <v>14</v>
      </c>
      <c r="F35" s="100" t="s">
        <v>330</v>
      </c>
      <c r="G35" s="100" t="s">
        <v>330</v>
      </c>
      <c r="H35" s="100" t="s">
        <v>14</v>
      </c>
      <c r="I35" s="100" t="s">
        <v>384</v>
      </c>
      <c r="J35" s="98" t="s">
        <v>0</v>
      </c>
      <c r="K35" s="122" t="s">
        <v>435</v>
      </c>
      <c r="L35" s="1"/>
    </row>
    <row r="36" spans="1:12" ht="15.75">
      <c r="A36" s="286" t="s">
        <v>7</v>
      </c>
      <c r="B36" s="340" t="s">
        <v>7</v>
      </c>
      <c r="C36" s="340" t="s">
        <v>7</v>
      </c>
      <c r="D36" s="340" t="s">
        <v>15</v>
      </c>
      <c r="E36" s="340" t="s">
        <v>8</v>
      </c>
      <c r="F36" s="340" t="s">
        <v>8</v>
      </c>
      <c r="G36" s="340" t="s">
        <v>8</v>
      </c>
      <c r="H36" s="340" t="s">
        <v>8</v>
      </c>
      <c r="I36" s="340" t="s">
        <v>15</v>
      </c>
      <c r="J36" s="286" t="s">
        <v>15</v>
      </c>
      <c r="K36" s="288" t="s">
        <v>15</v>
      </c>
      <c r="L36" s="5"/>
    </row>
    <row r="37" spans="1:12" ht="15.75">
      <c r="A37" s="89"/>
      <c r="B37" s="91"/>
      <c r="C37" s="91"/>
      <c r="D37" s="112"/>
      <c r="E37" s="112"/>
      <c r="F37" s="112"/>
      <c r="G37" s="112"/>
      <c r="H37" s="112"/>
      <c r="I37" s="64"/>
      <c r="J37" s="106"/>
      <c r="K37" s="124"/>
      <c r="L37" s="4"/>
    </row>
    <row r="38" spans="1:12" ht="15.75">
      <c r="A38" s="106" t="str">
        <f t="shared" ref="A38:C44" si="1">+A22</f>
        <v>AES CORPORATION</v>
      </c>
      <c r="B38" s="91" t="str">
        <f t="shared" si="1"/>
        <v>AES</v>
      </c>
      <c r="C38" s="91" t="str">
        <f t="shared" si="1"/>
        <v>Power Wholesale</v>
      </c>
      <c r="D38" s="125">
        <f t="shared" ref="D38:D44" si="2">(+H22)*G22</f>
        <v>19233062024.639999</v>
      </c>
      <c r="E38" s="125">
        <f>(1/1)*I22</f>
        <v>838000000</v>
      </c>
      <c r="F38" s="125">
        <v>400000000</v>
      </c>
      <c r="G38" s="125">
        <v>175000000</v>
      </c>
      <c r="H38" s="125">
        <f>J22*((18527+3505)/(19429+3894))</f>
        <v>22032000000</v>
      </c>
      <c r="I38" s="341">
        <f>+D38+E38+F38+G38+H38</f>
        <v>42678062024.639999</v>
      </c>
      <c r="J38" s="353">
        <f t="shared" ref="J38:J44" si="3">(+D38)/I38</f>
        <v>0.45065453097509139</v>
      </c>
      <c r="K38" s="126">
        <f>(+E38+F38+G38+H38)/I38</f>
        <v>0.54934546902490855</v>
      </c>
      <c r="L38" s="4"/>
    </row>
    <row r="39" spans="1:12" ht="15.75">
      <c r="A39" s="106" t="str">
        <f t="shared" si="1"/>
        <v>DOMINION ENERGY INC</v>
      </c>
      <c r="B39" s="91" t="str">
        <f t="shared" si="1"/>
        <v>D</v>
      </c>
      <c r="C39" s="91" t="str">
        <f t="shared" si="1"/>
        <v>Power Wholesale</v>
      </c>
      <c r="D39" s="125">
        <f t="shared" si="2"/>
        <v>51202200000</v>
      </c>
      <c r="E39" s="125">
        <f>(194.8/200)*I23</f>
        <v>1736642000.0000002</v>
      </c>
      <c r="F39" s="125">
        <f>39000000+514000000</f>
        <v>553000000</v>
      </c>
      <c r="G39" s="125">
        <v>150000000</v>
      </c>
      <c r="H39" s="125">
        <f>J23*(36426/39680)</f>
        <v>38789834425.403221</v>
      </c>
      <c r="I39" s="341">
        <f t="shared" ref="I39:I44" si="4">+D39+E39+F39+G39+H39</f>
        <v>92431676425.403229</v>
      </c>
      <c r="J39" s="353">
        <f t="shared" si="3"/>
        <v>0.55394646056563324</v>
      </c>
      <c r="K39" s="126">
        <f t="shared" ref="K39:K44" si="5">(+E39+F39+G39+H39)/I39</f>
        <v>0.44605353943436671</v>
      </c>
      <c r="L39" s="4"/>
    </row>
    <row r="40" spans="1:12" ht="15.75">
      <c r="A40" s="106" t="str">
        <f t="shared" si="1"/>
        <v>EXELON CORPORATION</v>
      </c>
      <c r="B40" s="91" t="str">
        <f t="shared" si="1"/>
        <v>EXC</v>
      </c>
      <c r="C40" s="91" t="str">
        <f t="shared" si="1"/>
        <v>Power Wholesale</v>
      </c>
      <c r="D40" s="125">
        <f t="shared" si="2"/>
        <v>42970620000</v>
      </c>
      <c r="E40" s="125">
        <f>(1/1)*I24</f>
        <v>0</v>
      </c>
      <c r="F40" s="125">
        <v>306000000</v>
      </c>
      <c r="G40" s="125">
        <v>76000000</v>
      </c>
      <c r="H40" s="125">
        <f>J24*(32229/37074)</f>
        <v>32568033015.05098</v>
      </c>
      <c r="I40" s="341">
        <f t="shared" si="4"/>
        <v>75920653015.05098</v>
      </c>
      <c r="J40" s="353">
        <f t="shared" si="3"/>
        <v>0.56599381450896158</v>
      </c>
      <c r="K40" s="126">
        <f t="shared" si="5"/>
        <v>0.43400618549103842</v>
      </c>
      <c r="L40" s="4"/>
    </row>
    <row r="41" spans="1:12" ht="15.75">
      <c r="A41" s="106" t="str">
        <f t="shared" si="1"/>
        <v>NEXTERA ENERGY INC</v>
      </c>
      <c r="B41" s="91" t="str">
        <f t="shared" si="1"/>
        <v>NEE</v>
      </c>
      <c r="C41" s="91" t="str">
        <f t="shared" si="1"/>
        <v>Power Wholesale</v>
      </c>
      <c r="D41" s="125">
        <f t="shared" si="2"/>
        <v>166154607581.59998</v>
      </c>
      <c r="E41" s="125">
        <f>(1/1)*I25</f>
        <v>0</v>
      </c>
      <c r="F41" s="125">
        <v>1600000000</v>
      </c>
      <c r="G41" s="125">
        <v>0</v>
      </c>
      <c r="H41" s="125">
        <v>57892000000</v>
      </c>
      <c r="I41" s="341">
        <f t="shared" ref="I41" si="6">+D41+E41+F41+G41+H41</f>
        <v>225646607581.59998</v>
      </c>
      <c r="J41" s="353">
        <f t="shared" ref="J41" si="7">(+D41)/I41</f>
        <v>0.73634879496920391</v>
      </c>
      <c r="K41" s="126">
        <f t="shared" ref="K41" si="8">(+E41+F41+G41+H41)/I41</f>
        <v>0.26365120503079609</v>
      </c>
      <c r="L41" s="4"/>
    </row>
    <row r="42" spans="1:12" ht="15.75">
      <c r="A42" s="106" t="str">
        <f t="shared" si="1"/>
        <v>NRG ENERGY</v>
      </c>
      <c r="B42" s="91" t="str">
        <f t="shared" si="1"/>
        <v>NRG</v>
      </c>
      <c r="C42" s="91" t="str">
        <f t="shared" si="1"/>
        <v>Power Wholesale</v>
      </c>
      <c r="D42" s="125">
        <f t="shared" si="2"/>
        <v>7304631974.6000004</v>
      </c>
      <c r="E42" s="125">
        <f>(1/1)*I26</f>
        <v>0</v>
      </c>
      <c r="F42" s="125">
        <v>263000000</v>
      </c>
      <c r="G42" s="125">
        <v>0</v>
      </c>
      <c r="H42" s="125">
        <f>J26*((7008/8098))</f>
        <v>6956941467.0288963</v>
      </c>
      <c r="I42" s="341">
        <f t="shared" si="4"/>
        <v>14524573441.628897</v>
      </c>
      <c r="J42" s="353">
        <f t="shared" si="3"/>
        <v>0.50291542150657498</v>
      </c>
      <c r="K42" s="126">
        <f t="shared" si="5"/>
        <v>0.49708457849342508</v>
      </c>
      <c r="L42" s="4"/>
    </row>
    <row r="43" spans="1:12" ht="15.75">
      <c r="A43" s="106" t="str">
        <f t="shared" si="1"/>
        <v>SOUTHERN COMPANY</v>
      </c>
      <c r="B43" s="91" t="str">
        <f t="shared" si="1"/>
        <v>SO</v>
      </c>
      <c r="C43" s="91" t="str">
        <f t="shared" si="1"/>
        <v>Power Wholesale</v>
      </c>
      <c r="D43" s="125">
        <f t="shared" si="2"/>
        <v>77765490000</v>
      </c>
      <c r="E43" s="125">
        <f>(1/1)*I27</f>
        <v>0</v>
      </c>
      <c r="F43" s="125">
        <v>1585000000</v>
      </c>
      <c r="G43" s="125">
        <v>314000000</v>
      </c>
      <c r="H43" s="341">
        <f>J27*(48.6/54.6)</f>
        <v>48903527472.527473</v>
      </c>
      <c r="I43" s="341">
        <f t="shared" si="4"/>
        <v>128568017472.52747</v>
      </c>
      <c r="J43" s="353">
        <f t="shared" si="3"/>
        <v>0.60485874736784362</v>
      </c>
      <c r="K43" s="126">
        <f t="shared" si="5"/>
        <v>0.39514125263215638</v>
      </c>
      <c r="L43" s="4"/>
    </row>
    <row r="44" spans="1:12" ht="16.5" thickBot="1">
      <c r="A44" s="110" t="str">
        <f t="shared" si="1"/>
        <v>VISTRA ENERGY CORPORATION</v>
      </c>
      <c r="B44" s="100" t="str">
        <f t="shared" si="1"/>
        <v>VST</v>
      </c>
      <c r="C44" s="100" t="str">
        <f t="shared" si="1"/>
        <v>Power Wholesale</v>
      </c>
      <c r="D44" s="317">
        <f t="shared" si="2"/>
        <v>9042312984</v>
      </c>
      <c r="E44" s="317">
        <v>1975000000</v>
      </c>
      <c r="F44" s="317">
        <v>53000000</v>
      </c>
      <c r="G44" s="317">
        <v>246000000</v>
      </c>
      <c r="H44" s="111">
        <f>J28*(11388/11971)</f>
        <v>11388000000</v>
      </c>
      <c r="I44" s="111">
        <f t="shared" si="4"/>
        <v>22704312984</v>
      </c>
      <c r="J44" s="382">
        <f t="shared" si="3"/>
        <v>0.39826410913081695</v>
      </c>
      <c r="K44" s="383">
        <f t="shared" si="5"/>
        <v>0.60173589086918311</v>
      </c>
      <c r="L44" s="4" t="s">
        <v>0</v>
      </c>
    </row>
    <row r="45" spans="1:12" ht="15.75">
      <c r="A45" s="12"/>
      <c r="B45" s="12"/>
      <c r="C45" s="12"/>
      <c r="D45" s="12"/>
      <c r="E45" s="12"/>
      <c r="F45" s="12"/>
      <c r="H45" s="12"/>
      <c r="I45" s="127" t="s">
        <v>53</v>
      </c>
      <c r="J45" s="131">
        <v>0.60489999999999999</v>
      </c>
      <c r="K45" s="131">
        <v>0.60170000000000001</v>
      </c>
    </row>
    <row r="46" spans="1:12" ht="15.75">
      <c r="G46" s="125" t="s">
        <v>0</v>
      </c>
      <c r="H46" s="12" t="s">
        <v>0</v>
      </c>
      <c r="I46" s="318" t="s">
        <v>54</v>
      </c>
      <c r="J46" s="319">
        <v>0.39829999999999999</v>
      </c>
      <c r="K46" s="319">
        <v>0.39510000000000001</v>
      </c>
    </row>
    <row r="47" spans="1:12" ht="15.75">
      <c r="G47" s="125" t="s">
        <v>0</v>
      </c>
      <c r="H47" s="12" t="s">
        <v>0</v>
      </c>
      <c r="I47" s="14" t="s">
        <v>18</v>
      </c>
      <c r="J47" s="129">
        <f>MEDIAN(J38:J44)</f>
        <v>0.55394646056563324</v>
      </c>
      <c r="K47" s="130">
        <f>MEDIAN(K38:K44)</f>
        <v>0.44605353943436671</v>
      </c>
    </row>
    <row r="48" spans="1:12" ht="15.75">
      <c r="E48" t="s">
        <v>0</v>
      </c>
      <c r="F48" t="s">
        <v>0</v>
      </c>
      <c r="H48" s="12" t="s">
        <v>0</v>
      </c>
      <c r="I48" s="14" t="s">
        <v>457</v>
      </c>
      <c r="J48" s="129">
        <f>AVERAGE(J38:J44)</f>
        <v>0.54471169700344657</v>
      </c>
      <c r="K48" s="130">
        <f>AVERAGE(K38:K44)</f>
        <v>0.45528830299655348</v>
      </c>
    </row>
    <row r="49" spans="1:11" ht="16.5" thickBot="1">
      <c r="D49" t="s">
        <v>0</v>
      </c>
      <c r="F49" t="s">
        <v>0</v>
      </c>
      <c r="H49" s="12"/>
      <c r="I49" s="12"/>
      <c r="J49" s="64"/>
      <c r="K49" s="64"/>
    </row>
    <row r="50" spans="1:11" ht="21" thickBot="1">
      <c r="H50" s="12"/>
      <c r="I50" s="216" t="s">
        <v>229</v>
      </c>
      <c r="J50" s="436">
        <v>0.54</v>
      </c>
      <c r="K50" s="437">
        <v>0.46</v>
      </c>
    </row>
    <row r="51" spans="1:11" ht="15.75">
      <c r="E51" s="128"/>
      <c r="F51" s="12"/>
      <c r="G51" s="12"/>
      <c r="H51" s="12"/>
      <c r="I51" s="64"/>
      <c r="J51" s="64" t="s">
        <v>0</v>
      </c>
      <c r="K51" s="12"/>
    </row>
    <row r="52" spans="1:11">
      <c r="E52" s="128"/>
      <c r="F52" s="12"/>
      <c r="G52" s="12"/>
      <c r="H52" s="12"/>
      <c r="I52" s="12"/>
      <c r="J52" s="12"/>
      <c r="K52" s="12"/>
    </row>
    <row r="53" spans="1:11">
      <c r="E53" s="128"/>
      <c r="F53" s="12"/>
      <c r="G53" s="12"/>
      <c r="H53" s="12"/>
      <c r="I53" s="12"/>
      <c r="J53" s="12"/>
      <c r="K53" s="12"/>
    </row>
    <row r="54" spans="1:11" ht="23.25">
      <c r="A54" s="23" t="s">
        <v>86</v>
      </c>
      <c r="B54" s="12"/>
      <c r="C54" s="76"/>
      <c r="D54" s="132"/>
      <c r="E54" s="128"/>
      <c r="F54" s="12"/>
      <c r="G54" s="12"/>
      <c r="H54" s="12"/>
      <c r="I54" s="12"/>
      <c r="J54" s="12"/>
      <c r="K54" s="12"/>
    </row>
    <row r="55" spans="1:11" ht="16.5">
      <c r="A55" s="87" t="s">
        <v>67</v>
      </c>
      <c r="B55" s="12"/>
      <c r="C55" s="76"/>
      <c r="D55" s="132"/>
      <c r="E55" s="128"/>
      <c r="F55" s="12"/>
      <c r="G55" s="12"/>
      <c r="H55" s="12"/>
      <c r="I55" s="12"/>
      <c r="J55" s="12"/>
      <c r="K55" s="12"/>
    </row>
    <row r="56" spans="1:11" ht="16.5">
      <c r="A56" s="12" t="s">
        <v>433</v>
      </c>
      <c r="B56" s="12"/>
      <c r="C56" s="76"/>
      <c r="D56" s="132"/>
      <c r="E56" s="128"/>
      <c r="F56" s="12"/>
      <c r="G56" s="12"/>
      <c r="H56" s="12"/>
      <c r="I56" s="12"/>
      <c r="J56" s="12"/>
      <c r="K56" s="12"/>
    </row>
    <row r="57" spans="1:11">
      <c r="A57" s="12" t="s">
        <v>171</v>
      </c>
    </row>
    <row r="58" spans="1:11">
      <c r="A58" s="12" t="s">
        <v>437</v>
      </c>
    </row>
    <row r="59" spans="1:11">
      <c r="A59" s="12" t="s">
        <v>170</v>
      </c>
    </row>
    <row r="60" spans="1:11">
      <c r="A60" s="12" t="s">
        <v>436</v>
      </c>
    </row>
    <row r="63" spans="1:11" ht="26.25">
      <c r="A63" s="342" t="s">
        <v>337</v>
      </c>
    </row>
    <row r="64" spans="1:11" ht="15.75">
      <c r="A64" s="155" t="s">
        <v>429</v>
      </c>
    </row>
    <row r="65" spans="1:1" ht="15.75">
      <c r="A65" s="155" t="s">
        <v>446</v>
      </c>
    </row>
    <row r="66" spans="1:1" ht="15.75">
      <c r="A66" s="155" t="s">
        <v>447</v>
      </c>
    </row>
    <row r="67" spans="1:1" ht="15.75">
      <c r="A67" s="155" t="s">
        <v>449</v>
      </c>
    </row>
    <row r="68" spans="1:1">
      <c r="A68" s="135" t="s">
        <v>448</v>
      </c>
    </row>
    <row r="69" spans="1:1" ht="26.25">
      <c r="A69" s="342" t="s">
        <v>338</v>
      </c>
    </row>
    <row r="70" spans="1:1" ht="15.75">
      <c r="A70" s="155" t="s">
        <v>430</v>
      </c>
    </row>
    <row r="71" spans="1:1" ht="15.75">
      <c r="A71" s="155" t="s">
        <v>444</v>
      </c>
    </row>
    <row r="72" spans="1:1">
      <c r="A72" s="12"/>
    </row>
    <row r="73" spans="1:1" ht="26.25">
      <c r="A73" s="342" t="s">
        <v>445</v>
      </c>
    </row>
    <row r="74" spans="1:1" ht="15.75">
      <c r="A74" s="155" t="s">
        <v>431</v>
      </c>
    </row>
    <row r="75" spans="1:1" ht="15.75">
      <c r="A75" s="155" t="s">
        <v>0</v>
      </c>
    </row>
    <row r="76" spans="1:1" ht="15.75">
      <c r="A76" s="155" t="s">
        <v>0</v>
      </c>
    </row>
  </sheetData>
  <pageMargins left="0.25" right="0.25" top="0.75" bottom="0.75" header="0.3" footer="0.3"/>
  <pageSetup scale="36" orientation="landscape" r:id="rId1"/>
  <rowBreaks count="1" manualBreakCount="1">
    <brk id="50" max="11" man="1"/>
  </rowBreaks>
  <colBreaks count="1" manualBreakCount="1">
    <brk id="11" max="74" man="1"/>
  </colBreaks>
  <ignoredErrors>
    <ignoredError sqref="E39"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1FF50-7DB7-41D1-AD2F-655311479817}">
  <sheetPr>
    <tabColor rgb="FF92D050"/>
    <pageSetUpPr fitToPage="1"/>
  </sheetPr>
  <dimension ref="A1:J60"/>
  <sheetViews>
    <sheetView view="pageBreakPreview" zoomScale="70" zoomScaleNormal="80" zoomScaleSheetLayoutView="70" zoomScalePageLayoutView="70" workbookViewId="0">
      <pane xSplit="1" topLeftCell="B1" activePane="topRight" state="frozen"/>
      <selection activeCell="F4" sqref="F4"/>
      <selection pane="topRight" activeCell="A13" sqref="A13"/>
    </sheetView>
  </sheetViews>
  <sheetFormatPr defaultRowHeight="15"/>
  <cols>
    <col min="1" max="1" width="69.42578125" customWidth="1"/>
    <col min="2" max="2" width="13.42578125" customWidth="1"/>
    <col min="3" max="3" width="20.42578125" bestFit="1" customWidth="1"/>
    <col min="4" max="4" width="30.140625" customWidth="1"/>
    <col min="5" max="5" width="28" customWidth="1"/>
    <col min="6" max="6" width="29.140625" customWidth="1"/>
    <col min="7" max="7" width="23.42578125" customWidth="1"/>
    <col min="8" max="8" width="12.85546875" customWidth="1"/>
    <col min="9" max="9" width="25.85546875" bestFit="1" customWidth="1"/>
    <col min="10" max="10" width="30.140625" bestFit="1" customWidth="1"/>
    <col min="11" max="11" width="9.140625" customWidth="1"/>
  </cols>
  <sheetData>
    <row r="1" spans="1:9" ht="20.25">
      <c r="A1" s="24" t="s">
        <v>1</v>
      </c>
      <c r="B1" s="12"/>
      <c r="C1" s="12"/>
      <c r="D1" s="12"/>
      <c r="E1" s="12"/>
      <c r="F1" s="12"/>
      <c r="G1" s="12"/>
      <c r="H1" s="12"/>
    </row>
    <row r="2" spans="1:9" ht="15.75">
      <c r="A2" s="25" t="s">
        <v>9</v>
      </c>
      <c r="B2" s="12"/>
      <c r="C2" s="12"/>
      <c r="D2" s="12"/>
      <c r="E2" s="12"/>
      <c r="F2" s="12"/>
      <c r="G2" s="12"/>
      <c r="H2" s="12"/>
    </row>
    <row r="3" spans="1:9">
      <c r="A3" s="26" t="s">
        <v>76</v>
      </c>
      <c r="B3" s="12"/>
      <c r="C3" s="12"/>
      <c r="D3" s="12"/>
      <c r="E3" s="12"/>
      <c r="F3" s="12"/>
      <c r="G3" s="12"/>
      <c r="H3" s="12"/>
    </row>
    <row r="4" spans="1:9">
      <c r="A4" s="26"/>
      <c r="B4" s="12"/>
      <c r="C4" s="12"/>
      <c r="D4" s="12"/>
      <c r="E4" s="12"/>
      <c r="F4" s="214" t="s">
        <v>0</v>
      </c>
      <c r="G4" s="12"/>
      <c r="H4" s="12"/>
    </row>
    <row r="5" spans="1:9">
      <c r="B5" s="12"/>
      <c r="C5" s="12"/>
      <c r="D5" s="12"/>
      <c r="E5" s="27"/>
      <c r="F5" s="214" t="s">
        <v>0</v>
      </c>
      <c r="G5" s="12"/>
      <c r="H5" s="12" t="s">
        <v>0</v>
      </c>
    </row>
    <row r="6" spans="1:9">
      <c r="A6" s="87"/>
      <c r="B6" s="35"/>
      <c r="C6" s="35"/>
      <c r="D6" s="35"/>
      <c r="E6" s="35"/>
      <c r="F6" s="35"/>
      <c r="G6" s="14"/>
      <c r="H6" s="86"/>
      <c r="I6" s="3"/>
    </row>
    <row r="7" spans="1:9">
      <c r="A7" s="44"/>
      <c r="B7" s="44"/>
      <c r="C7" s="44"/>
      <c r="D7" s="44"/>
      <c r="E7" s="44"/>
      <c r="F7" s="44"/>
      <c r="G7" s="44"/>
      <c r="H7" s="44"/>
      <c r="I7" s="2"/>
    </row>
    <row r="8" spans="1:9" ht="15.75" thickBot="1">
      <c r="A8" s="44"/>
      <c r="B8" s="44"/>
      <c r="C8" s="44"/>
      <c r="D8" s="88"/>
      <c r="E8" s="29"/>
      <c r="F8" s="88"/>
      <c r="H8" s="44"/>
      <c r="I8" s="2"/>
    </row>
    <row r="9" spans="1:9" ht="21" thickBot="1">
      <c r="A9" s="28" t="str">
        <f>+'S&amp;D'!A12</f>
        <v>Electric Wholesale (non-regulated) Power Generator</v>
      </c>
      <c r="B9" s="44"/>
      <c r="C9" s="44"/>
      <c r="D9" s="44"/>
      <c r="E9" s="32" t="s">
        <v>328</v>
      </c>
      <c r="F9" s="44"/>
      <c r="H9" s="12"/>
    </row>
    <row r="10" spans="1:9" ht="18.75" thickBot="1">
      <c r="A10" s="31"/>
      <c r="B10" s="44"/>
      <c r="C10" s="44"/>
      <c r="D10" s="88"/>
      <c r="E10" s="37" t="s">
        <v>90</v>
      </c>
      <c r="F10" s="88"/>
      <c r="H10" s="12"/>
    </row>
    <row r="11" spans="1:9" ht="18">
      <c r="A11" s="31"/>
      <c r="B11" s="44"/>
      <c r="C11" s="44"/>
      <c r="D11" s="44"/>
      <c r="E11" s="35"/>
      <c r="F11" s="44"/>
      <c r="H11" s="12"/>
    </row>
    <row r="12" spans="1:9" ht="18">
      <c r="A12" s="31"/>
      <c r="B12" s="44"/>
      <c r="C12" s="44"/>
      <c r="D12" s="44"/>
      <c r="E12" s="35"/>
      <c r="F12" s="44"/>
      <c r="H12" s="12"/>
    </row>
    <row r="13" spans="1:9" ht="18">
      <c r="A13" s="31"/>
      <c r="B13" s="44"/>
      <c r="C13" s="44"/>
      <c r="D13" s="44"/>
      <c r="E13" s="35"/>
      <c r="F13" s="44"/>
      <c r="H13" s="12"/>
    </row>
    <row r="14" spans="1:9" ht="18">
      <c r="A14" s="31"/>
      <c r="B14" s="44"/>
      <c r="C14" s="44"/>
      <c r="D14" s="44"/>
      <c r="E14" s="13" t="s">
        <v>0</v>
      </c>
      <c r="F14" s="44"/>
      <c r="H14" s="12"/>
    </row>
    <row r="15" spans="1:9" ht="15.75" thickBot="1">
      <c r="A15" s="42" t="s">
        <v>0</v>
      </c>
      <c r="B15" s="42" t="s">
        <v>0</v>
      </c>
      <c r="C15" s="42" t="s">
        <v>0</v>
      </c>
      <c r="D15" s="42"/>
      <c r="E15" s="42"/>
      <c r="F15" s="42"/>
      <c r="H15" s="12"/>
    </row>
    <row r="16" spans="1:9" ht="15.75">
      <c r="A16" s="89"/>
      <c r="B16" s="90"/>
      <c r="C16" s="91"/>
      <c r="D16" s="254" t="s">
        <v>0</v>
      </c>
      <c r="E16" s="255" t="s">
        <v>0</v>
      </c>
      <c r="F16" s="254" t="s">
        <v>0</v>
      </c>
      <c r="H16" s="12"/>
    </row>
    <row r="17" spans="1:10" ht="15.75">
      <c r="A17" s="89" t="s">
        <v>0</v>
      </c>
      <c r="B17" s="90" t="s">
        <v>3</v>
      </c>
      <c r="C17" s="91" t="s">
        <v>5</v>
      </c>
      <c r="D17" s="92" t="s">
        <v>318</v>
      </c>
      <c r="E17" s="256" t="s">
        <v>74</v>
      </c>
      <c r="F17" s="92" t="s">
        <v>320</v>
      </c>
      <c r="H17" s="12"/>
    </row>
    <row r="18" spans="1:10" ht="15.75">
      <c r="A18" s="89"/>
      <c r="B18" s="90" t="s">
        <v>4</v>
      </c>
      <c r="C18" s="91" t="s">
        <v>6</v>
      </c>
      <c r="D18" s="92" t="s">
        <v>329</v>
      </c>
      <c r="E18" s="256" t="s">
        <v>329</v>
      </c>
      <c r="F18" s="92" t="s">
        <v>146</v>
      </c>
      <c r="H18" s="12"/>
    </row>
    <row r="19" spans="1:10" ht="16.5" thickBot="1">
      <c r="A19" s="98" t="s">
        <v>2</v>
      </c>
      <c r="B19" s="99" t="s">
        <v>0</v>
      </c>
      <c r="C19" s="100" t="s">
        <v>0</v>
      </c>
      <c r="D19" s="99" t="s">
        <v>0</v>
      </c>
      <c r="E19" s="122" t="s">
        <v>0</v>
      </c>
      <c r="F19" s="99" t="s">
        <v>0</v>
      </c>
      <c r="H19" s="12"/>
    </row>
    <row r="20" spans="1:10">
      <c r="A20" s="286" t="s">
        <v>7</v>
      </c>
      <c r="B20" s="287" t="s">
        <v>7</v>
      </c>
      <c r="C20" s="288" t="s">
        <v>7</v>
      </c>
      <c r="D20" s="287" t="s">
        <v>7</v>
      </c>
      <c r="E20" s="123" t="s">
        <v>319</v>
      </c>
      <c r="F20" s="104"/>
      <c r="H20" s="12"/>
    </row>
    <row r="21" spans="1:10" ht="15.75">
      <c r="A21" s="89"/>
      <c r="B21" s="90"/>
      <c r="C21" s="257"/>
      <c r="D21" s="90"/>
      <c r="E21" s="257"/>
      <c r="F21" s="90"/>
      <c r="H21" s="12"/>
    </row>
    <row r="22" spans="1:10" ht="15.75">
      <c r="A22" s="106" t="str">
        <f>+'S&amp;D'!A22</f>
        <v>AES CORPORATION</v>
      </c>
      <c r="B22" s="89" t="str">
        <f>+'S&amp;D'!B22</f>
        <v>AES</v>
      </c>
      <c r="C22" s="90" t="str">
        <f>+'S&amp;D'!C22</f>
        <v>Power Wholesale</v>
      </c>
      <c r="D22" s="271">
        <f>+'S&amp;D'!D38</f>
        <v>19233062024.639999</v>
      </c>
      <c r="E22" s="273">
        <v>2437000000</v>
      </c>
      <c r="F22" s="108">
        <f>+D22/E22</f>
        <v>7.8921058779811242</v>
      </c>
      <c r="H22" s="12"/>
    </row>
    <row r="23" spans="1:10" ht="15.75">
      <c r="A23" s="106" t="str">
        <f>+'S&amp;D'!A23</f>
        <v>DOMINION ENERGY INC</v>
      </c>
      <c r="B23" s="89" t="str">
        <f>+'S&amp;D'!B23</f>
        <v>D</v>
      </c>
      <c r="C23" s="90" t="str">
        <f>+'S&amp;D'!C23</f>
        <v>Power Wholesale</v>
      </c>
      <c r="D23" s="271">
        <f>+'S&amp;D'!D39</f>
        <v>51202200000</v>
      </c>
      <c r="E23" s="273">
        <v>27881000000</v>
      </c>
      <c r="F23" s="108">
        <f t="shared" ref="F23:F28" si="0">+D23/E23</f>
        <v>1.8364549334672358</v>
      </c>
      <c r="H23" s="12"/>
    </row>
    <row r="24" spans="1:10" ht="15.75">
      <c r="A24" s="106" t="str">
        <f>+'S&amp;D'!A24</f>
        <v>EXELON CORPORATION</v>
      </c>
      <c r="B24" s="89" t="str">
        <f>+'S&amp;D'!B24</f>
        <v>EXC</v>
      </c>
      <c r="C24" s="90" t="str">
        <f>+'S&amp;D'!C24</f>
        <v>Power Wholesale</v>
      </c>
      <c r="D24" s="271">
        <f>+'S&amp;D'!D40</f>
        <v>42970620000</v>
      </c>
      <c r="E24" s="273">
        <v>24744000000</v>
      </c>
      <c r="F24" s="108">
        <f t="shared" si="0"/>
        <v>1.7366076624636275</v>
      </c>
      <c r="H24" s="12"/>
    </row>
    <row r="25" spans="1:10" ht="15.75">
      <c r="A25" s="106" t="str">
        <f>+'S&amp;D'!A25</f>
        <v>NEXTERA ENERGY INC</v>
      </c>
      <c r="B25" s="89" t="str">
        <f>+'S&amp;D'!B25</f>
        <v>NEE</v>
      </c>
      <c r="C25" s="90" t="str">
        <f>+'S&amp;D'!C25</f>
        <v>Power Wholesale</v>
      </c>
      <c r="D25" s="271">
        <f>+'S&amp;D'!D41</f>
        <v>166154607581.59998</v>
      </c>
      <c r="E25" s="273">
        <v>39229000000</v>
      </c>
      <c r="F25" s="108">
        <f t="shared" ref="F25" si="1">+D25/E25</f>
        <v>4.235504539539626</v>
      </c>
      <c r="H25" s="12"/>
    </row>
    <row r="26" spans="1:10" ht="15.75">
      <c r="A26" s="106" t="str">
        <f>+'S&amp;D'!A26</f>
        <v>NRG ENERGY</v>
      </c>
      <c r="B26" s="89" t="str">
        <f>+'S&amp;D'!B26</f>
        <v>NRG</v>
      </c>
      <c r="C26" s="90" t="str">
        <f>+'S&amp;D'!C26</f>
        <v>Power Wholesale</v>
      </c>
      <c r="D26" s="271">
        <f>+'S&amp;D'!D42</f>
        <v>7304631974.6000004</v>
      </c>
      <c r="E26" s="273">
        <v>3828000000</v>
      </c>
      <c r="F26" s="108">
        <f t="shared" si="0"/>
        <v>1.9082110696447232</v>
      </c>
      <c r="H26" s="12"/>
    </row>
    <row r="27" spans="1:10" ht="15.75">
      <c r="A27" s="106" t="str">
        <f>+'S&amp;D'!A27</f>
        <v>SOUTHERN COMPANY</v>
      </c>
      <c r="B27" s="89" t="str">
        <f>+'S&amp;D'!B27</f>
        <v>SO</v>
      </c>
      <c r="C27" s="90" t="str">
        <f>+'S&amp;D'!C27</f>
        <v>Power Wholesale</v>
      </c>
      <c r="D27" s="271">
        <f>+'S&amp;D'!D43</f>
        <v>77765490000</v>
      </c>
      <c r="E27" s="273">
        <v>34532000000</v>
      </c>
      <c r="F27" s="108">
        <f t="shared" si="0"/>
        <v>2.2519833777365923</v>
      </c>
      <c r="H27" s="12"/>
    </row>
    <row r="28" spans="1:10" ht="16.5" thickBot="1">
      <c r="A28" s="110" t="str">
        <f>+'S&amp;D'!A28</f>
        <v>VISTRA ENERGY CORPORATION</v>
      </c>
      <c r="B28" s="98" t="str">
        <f>+'S&amp;D'!B28</f>
        <v>VST</v>
      </c>
      <c r="C28" s="99" t="str">
        <f>+'S&amp;D'!C28</f>
        <v>Power Wholesale</v>
      </c>
      <c r="D28" s="272">
        <f>+'S&amp;D'!D44</f>
        <v>9042312984</v>
      </c>
      <c r="E28" s="273">
        <v>4902000000</v>
      </c>
      <c r="F28" s="108">
        <f t="shared" si="0"/>
        <v>1.8446170917992657</v>
      </c>
      <c r="H28" s="12"/>
      <c r="J28" s="10" t="s">
        <v>0</v>
      </c>
    </row>
    <row r="29" spans="1:10" ht="27" customHeight="1" thickBot="1">
      <c r="A29" s="112"/>
      <c r="B29" s="112"/>
      <c r="C29" s="112"/>
      <c r="D29" s="112"/>
      <c r="E29" s="284" t="s">
        <v>327</v>
      </c>
      <c r="F29" s="413">
        <f>AVERAGE(F22:F28)</f>
        <v>3.100783507518885</v>
      </c>
      <c r="H29" s="12"/>
    </row>
    <row r="30" spans="1:10" ht="15.75">
      <c r="A30" s="112"/>
      <c r="B30" s="112"/>
      <c r="C30" s="112"/>
      <c r="D30" s="112"/>
      <c r="E30" s="266"/>
      <c r="F30" s="267"/>
      <c r="H30" s="12"/>
    </row>
    <row r="31" spans="1:10" ht="15.75">
      <c r="A31" s="112"/>
      <c r="B31" s="112"/>
      <c r="C31" s="112"/>
      <c r="D31" s="112"/>
      <c r="E31" s="266"/>
      <c r="F31" s="267"/>
      <c r="H31" s="12"/>
    </row>
    <row r="32" spans="1:10" ht="15.75">
      <c r="A32" s="112"/>
      <c r="B32" s="112"/>
      <c r="C32" s="112"/>
      <c r="D32" s="112"/>
      <c r="E32" s="266"/>
      <c r="F32" s="267"/>
      <c r="H32" s="12"/>
    </row>
    <row r="33" spans="1:8" ht="16.5" thickBot="1">
      <c r="A33" s="112"/>
      <c r="B33" s="112"/>
      <c r="C33" s="112"/>
      <c r="D33" s="112"/>
      <c r="E33" s="112"/>
      <c r="F33" s="112"/>
      <c r="H33" s="12"/>
    </row>
    <row r="34" spans="1:8" ht="15.75">
      <c r="A34" s="268"/>
      <c r="B34" s="269"/>
      <c r="C34" s="270"/>
      <c r="D34" s="254" t="s">
        <v>0</v>
      </c>
      <c r="E34" s="255" t="s">
        <v>0</v>
      </c>
      <c r="F34" s="254" t="s">
        <v>0</v>
      </c>
      <c r="H34" s="12"/>
    </row>
    <row r="35" spans="1:8" ht="15.75">
      <c r="A35" s="89" t="s">
        <v>0</v>
      </c>
      <c r="B35" s="90" t="s">
        <v>3</v>
      </c>
      <c r="C35" s="91" t="s">
        <v>5</v>
      </c>
      <c r="D35" s="92" t="s">
        <v>318</v>
      </c>
      <c r="E35" s="256" t="s">
        <v>74</v>
      </c>
      <c r="F35" s="92" t="s">
        <v>320</v>
      </c>
      <c r="H35" s="12"/>
    </row>
    <row r="36" spans="1:8" ht="15.75">
      <c r="A36" s="89"/>
      <c r="B36" s="90" t="s">
        <v>4</v>
      </c>
      <c r="C36" s="91" t="s">
        <v>6</v>
      </c>
      <c r="D36" s="92" t="s">
        <v>321</v>
      </c>
      <c r="E36" s="256" t="s">
        <v>321</v>
      </c>
      <c r="F36" s="92" t="s">
        <v>146</v>
      </c>
    </row>
    <row r="37" spans="1:8" ht="16.5" thickBot="1">
      <c r="A37" s="98" t="s">
        <v>2</v>
      </c>
      <c r="B37" s="99" t="s">
        <v>0</v>
      </c>
      <c r="C37" s="100" t="s">
        <v>0</v>
      </c>
      <c r="D37" s="99" t="s">
        <v>0</v>
      </c>
      <c r="E37" s="122" t="s">
        <v>0</v>
      </c>
      <c r="F37" s="99" t="s">
        <v>0</v>
      </c>
    </row>
    <row r="38" spans="1:8">
      <c r="A38" s="286" t="s">
        <v>7</v>
      </c>
      <c r="B38" s="287" t="s">
        <v>7</v>
      </c>
      <c r="C38" s="340" t="s">
        <v>7</v>
      </c>
      <c r="D38" s="287" t="s">
        <v>319</v>
      </c>
      <c r="E38" s="123" t="s">
        <v>319</v>
      </c>
      <c r="F38" s="104"/>
    </row>
    <row r="39" spans="1:8" ht="15.75">
      <c r="A39" s="89"/>
      <c r="B39" s="90"/>
      <c r="C39" s="91"/>
      <c r="D39" s="90"/>
      <c r="E39" s="257"/>
      <c r="F39" s="90"/>
    </row>
    <row r="40" spans="1:8" ht="15.75">
      <c r="A40" s="106" t="str">
        <f>+'S&amp;D'!A22</f>
        <v>AES CORPORATION</v>
      </c>
      <c r="B40" s="89" t="str">
        <f>+'S&amp;D'!B22</f>
        <v>AES</v>
      </c>
      <c r="C40" s="89" t="str">
        <f>+'S&amp;D'!C22</f>
        <v>Power Wholesale</v>
      </c>
      <c r="D40" s="271">
        <f>+'S&amp;D'!H38</f>
        <v>22032000000</v>
      </c>
      <c r="E40" s="273">
        <f>+'S&amp;D'!J22</f>
        <v>23323000000</v>
      </c>
      <c r="F40" s="108">
        <f>+D40/E40</f>
        <v>0.94464691506238474</v>
      </c>
    </row>
    <row r="41" spans="1:8" ht="15.75">
      <c r="A41" s="106" t="str">
        <f>+'S&amp;D'!A23</f>
        <v>DOMINION ENERGY INC</v>
      </c>
      <c r="B41" s="89" t="str">
        <f>+'S&amp;D'!B23</f>
        <v>D</v>
      </c>
      <c r="C41" s="89" t="str">
        <f>+'S&amp;D'!C23</f>
        <v>Power Wholesale</v>
      </c>
      <c r="D41" s="271">
        <f>+'S&amp;D'!H39</f>
        <v>38789834425.403221</v>
      </c>
      <c r="E41" s="273">
        <f>+'S&amp;D'!J23</f>
        <v>42255000000</v>
      </c>
      <c r="F41" s="108">
        <f t="shared" ref="F41:F46" si="2">+D41/E41</f>
        <v>0.91799395161290309</v>
      </c>
    </row>
    <row r="42" spans="1:8" ht="15.75">
      <c r="A42" s="106" t="str">
        <f>+'S&amp;D'!A24</f>
        <v>EXELON CORPORATION</v>
      </c>
      <c r="B42" s="89" t="str">
        <f>+'S&amp;D'!B24</f>
        <v>EXC</v>
      </c>
      <c r="C42" s="89" t="str">
        <f>+'S&amp;D'!C24</f>
        <v>Power Wholesale</v>
      </c>
      <c r="D42" s="271">
        <f>+'S&amp;D'!H40</f>
        <v>32568033015.05098</v>
      </c>
      <c r="E42" s="273">
        <f>+'S&amp;D'!J24</f>
        <v>37464000000</v>
      </c>
      <c r="F42" s="108">
        <f t="shared" si="2"/>
        <v>0.86931542320763877</v>
      </c>
    </row>
    <row r="43" spans="1:8" ht="15.75">
      <c r="A43" s="106" t="str">
        <f>+'S&amp;D'!A25</f>
        <v>NEXTERA ENERGY INC</v>
      </c>
      <c r="B43" s="89" t="str">
        <f>+'S&amp;D'!B25</f>
        <v>NEE</v>
      </c>
      <c r="C43" s="89" t="str">
        <f>+'S&amp;D'!C25</f>
        <v>Power Wholesale</v>
      </c>
      <c r="D43" s="271">
        <f>+'S&amp;D'!H41</f>
        <v>57892000000</v>
      </c>
      <c r="E43" s="273">
        <f>+'S&amp;D'!J25</f>
        <v>61889000000</v>
      </c>
      <c r="F43" s="108">
        <f t="shared" ref="F43" si="3">+D43/E43</f>
        <v>0.9354166330042496</v>
      </c>
    </row>
    <row r="44" spans="1:8" ht="15.75">
      <c r="A44" s="106" t="str">
        <f>+'S&amp;D'!A26</f>
        <v>NRG ENERGY</v>
      </c>
      <c r="B44" s="89" t="str">
        <f>+'S&amp;D'!B26</f>
        <v>NRG</v>
      </c>
      <c r="C44" s="89" t="str">
        <f>+'S&amp;D'!C26</f>
        <v>Power Wholesale</v>
      </c>
      <c r="D44" s="271">
        <f>+'S&amp;D'!H42</f>
        <v>6956941467.0288963</v>
      </c>
      <c r="E44" s="273">
        <f>+'S&amp;D'!J26</f>
        <v>8039000000</v>
      </c>
      <c r="F44" s="108">
        <f t="shared" si="2"/>
        <v>0.86539886391701659</v>
      </c>
    </row>
    <row r="45" spans="1:8" ht="15.75">
      <c r="A45" s="106" t="str">
        <f>+'S&amp;D'!A27</f>
        <v>SOUTHERN COMPANY</v>
      </c>
      <c r="B45" s="89" t="str">
        <f>+'S&amp;D'!B27</f>
        <v>SO</v>
      </c>
      <c r="C45" s="89" t="str">
        <f>+'S&amp;D'!C27</f>
        <v>Power Wholesale</v>
      </c>
      <c r="D45" s="271">
        <f>+'S&amp;D'!H43</f>
        <v>48903527472.527473</v>
      </c>
      <c r="E45" s="273">
        <f>+'S&amp;D'!J27</f>
        <v>54941000000</v>
      </c>
      <c r="F45" s="108">
        <f t="shared" si="2"/>
        <v>0.89010989010989017</v>
      </c>
    </row>
    <row r="46" spans="1:8" ht="16.5" thickBot="1">
      <c r="A46" s="110" t="str">
        <f>+'S&amp;D'!A28</f>
        <v>VISTRA ENERGY CORPORATION</v>
      </c>
      <c r="B46" s="98" t="str">
        <f>+'S&amp;D'!B28</f>
        <v>VST</v>
      </c>
      <c r="C46" s="98" t="str">
        <f>+'S&amp;D'!C28</f>
        <v>Power Wholesale</v>
      </c>
      <c r="D46" s="272">
        <f>+'S&amp;D'!H44</f>
        <v>11388000000</v>
      </c>
      <c r="E46" s="273">
        <f>+'S&amp;D'!J28</f>
        <v>11971000000</v>
      </c>
      <c r="F46" s="108">
        <f t="shared" si="2"/>
        <v>0.95129897251691586</v>
      </c>
    </row>
    <row r="47" spans="1:8" ht="27.75" customHeight="1" thickBot="1">
      <c r="E47" s="284" t="s">
        <v>327</v>
      </c>
      <c r="F47" s="413">
        <f>AVERAGE(F40:F46)</f>
        <v>0.91059723563299977</v>
      </c>
    </row>
    <row r="52" spans="1:6">
      <c r="C52" s="258" t="s">
        <v>322</v>
      </c>
      <c r="D52" s="258" t="s">
        <v>323</v>
      </c>
      <c r="E52" s="258"/>
    </row>
    <row r="53" spans="1:6">
      <c r="A53" s="260"/>
      <c r="B53" s="260"/>
      <c r="C53" s="259" t="s">
        <v>36</v>
      </c>
      <c r="D53" s="259" t="s">
        <v>324</v>
      </c>
      <c r="E53" s="259" t="s">
        <v>325</v>
      </c>
    </row>
    <row r="54" spans="1:6" ht="15.75">
      <c r="A54" s="91" t="s">
        <v>40</v>
      </c>
      <c r="B54" s="148" t="s">
        <v>0</v>
      </c>
      <c r="C54" s="148">
        <f>+'Yield CapRate'!C23</f>
        <v>0.54</v>
      </c>
      <c r="D54" s="264">
        <f>+F29</f>
        <v>3.100783507518885</v>
      </c>
      <c r="E54" s="265">
        <f>+C54*D54</f>
        <v>1.6744230940601981</v>
      </c>
      <c r="F54" s="149" t="s">
        <v>0</v>
      </c>
    </row>
    <row r="55" spans="1:6" ht="15.75">
      <c r="A55" s="261" t="s">
        <v>42</v>
      </c>
      <c r="B55" s="262" t="str">
        <f>'S&amp;D'!J35</f>
        <v xml:space="preserve"> </v>
      </c>
      <c r="C55" s="262">
        <f>+'Yield CapRate'!C25</f>
        <v>0.46</v>
      </c>
      <c r="D55" s="263">
        <f>+F47</f>
        <v>0.91059723563299977</v>
      </c>
      <c r="E55" s="263">
        <f>+C55*D55</f>
        <v>0.4188747283911799</v>
      </c>
      <c r="F55" s="149" t="s">
        <v>0</v>
      </c>
    </row>
    <row r="56" spans="1:6" ht="15.75">
      <c r="D56" s="127" t="s">
        <v>326</v>
      </c>
      <c r="E56" s="285">
        <f>+E54+E55</f>
        <v>2.0932978224513779</v>
      </c>
    </row>
    <row r="59" spans="1:6" ht="18">
      <c r="A59" s="31" t="s">
        <v>459</v>
      </c>
    </row>
    <row r="60" spans="1:6" ht="18">
      <c r="A60" s="31" t="s">
        <v>398</v>
      </c>
    </row>
  </sheetData>
  <pageMargins left="0.25" right="0.25" top="0.75" bottom="0.75" header="0.3" footer="0.3"/>
  <pageSetup scale="52" orientation="landscape" r:id="rId1"/>
  <rowBreaks count="1" manualBreakCount="1">
    <brk id="33" max="6" man="1"/>
  </rowBreaks>
  <colBreaks count="1" manualBreakCount="1">
    <brk id="8" max="71"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145E-BF36-4A2C-868C-9B0DC0104C72}">
  <sheetPr>
    <tabColor rgb="FF92D050"/>
  </sheetPr>
  <dimension ref="A1:L76"/>
  <sheetViews>
    <sheetView view="pageBreakPreview" zoomScale="70" zoomScaleNormal="80" zoomScaleSheetLayoutView="70" workbookViewId="0">
      <selection activeCell="L1" sqref="L1"/>
    </sheetView>
  </sheetViews>
  <sheetFormatPr defaultRowHeight="15"/>
  <cols>
    <col min="1" max="1" width="45.140625" customWidth="1"/>
    <col min="2" max="2" width="10.85546875" bestFit="1" customWidth="1"/>
    <col min="3" max="3" width="13" customWidth="1"/>
    <col min="4" max="4" width="23.42578125" customWidth="1"/>
    <col min="5" max="5" width="22.28515625" customWidth="1"/>
    <col min="6" max="6" width="26.5703125" customWidth="1"/>
    <col min="7" max="7" width="26.42578125" customWidth="1"/>
    <col min="8" max="8" width="23.85546875" customWidth="1"/>
    <col min="9" max="9" width="15" customWidth="1"/>
    <col min="10" max="10" width="14.140625" bestFit="1" customWidth="1"/>
    <col min="11" max="11" width="16.7109375" customWidth="1"/>
    <col min="12" max="12" width="23.140625" customWidth="1"/>
  </cols>
  <sheetData>
    <row r="1" spans="1:12" ht="20.25">
      <c r="A1" s="24" t="s">
        <v>1</v>
      </c>
      <c r="B1" s="12"/>
      <c r="C1" s="12"/>
      <c r="D1" s="12"/>
      <c r="E1" s="12"/>
      <c r="F1" s="12"/>
      <c r="G1" s="12"/>
      <c r="H1" s="12"/>
      <c r="I1" s="12"/>
      <c r="J1" s="12"/>
      <c r="K1" s="12"/>
      <c r="L1" s="12"/>
    </row>
    <row r="2" spans="1:12" ht="15.75">
      <c r="A2" s="25" t="s">
        <v>9</v>
      </c>
      <c r="B2" s="12"/>
      <c r="C2" s="12"/>
      <c r="D2" s="12"/>
      <c r="E2" s="12"/>
      <c r="F2" s="12"/>
      <c r="G2" s="12"/>
      <c r="H2" s="12"/>
      <c r="I2" s="12"/>
      <c r="J2" s="12"/>
      <c r="K2" s="12"/>
      <c r="L2" s="12"/>
    </row>
    <row r="3" spans="1:12">
      <c r="A3" s="26" t="s">
        <v>76</v>
      </c>
      <c r="B3" s="12"/>
      <c r="C3" s="12"/>
      <c r="D3" s="12"/>
      <c r="E3" s="12"/>
      <c r="F3" s="12"/>
      <c r="G3" s="12"/>
      <c r="H3" s="12"/>
      <c r="I3" s="12"/>
      <c r="J3" s="12"/>
      <c r="K3" s="12"/>
      <c r="L3" s="12"/>
    </row>
    <row r="4" spans="1:12">
      <c r="A4" s="26"/>
      <c r="B4" s="12"/>
      <c r="C4" s="12"/>
      <c r="D4" s="12"/>
      <c r="E4" s="12"/>
      <c r="F4" s="12"/>
      <c r="G4" s="12"/>
      <c r="H4" s="12"/>
      <c r="I4" s="12"/>
      <c r="J4" s="12"/>
      <c r="K4" s="12"/>
      <c r="L4" s="12"/>
    </row>
    <row r="5" spans="1:12">
      <c r="A5" s="26"/>
      <c r="B5" s="12"/>
      <c r="C5" s="12"/>
      <c r="D5" s="12"/>
      <c r="E5" s="12"/>
      <c r="F5" s="12"/>
      <c r="G5" s="12"/>
      <c r="H5" s="12"/>
      <c r="I5" s="12"/>
      <c r="J5" s="12"/>
      <c r="K5" s="12"/>
      <c r="L5" s="12"/>
    </row>
    <row r="6" spans="1:12">
      <c r="A6" s="26"/>
      <c r="B6" s="12"/>
      <c r="C6" s="12"/>
      <c r="D6" s="12"/>
      <c r="E6" s="12"/>
      <c r="F6" s="12"/>
      <c r="G6" s="12"/>
      <c r="H6" s="12"/>
      <c r="I6" s="12"/>
      <c r="J6" s="12"/>
      <c r="K6" s="12"/>
      <c r="L6" s="12"/>
    </row>
    <row r="7" spans="1:12" ht="15.75" thickBot="1">
      <c r="A7" s="12"/>
      <c r="B7" s="12"/>
      <c r="C7" s="12"/>
      <c r="D7" s="12"/>
      <c r="E7" s="12"/>
      <c r="F7" s="29"/>
      <c r="G7" s="29"/>
      <c r="H7" s="30" t="s">
        <v>0</v>
      </c>
      <c r="I7" s="12"/>
      <c r="J7" s="12"/>
      <c r="K7" s="12"/>
      <c r="L7" s="12"/>
    </row>
    <row r="8" spans="1:12" ht="21" thickBot="1">
      <c r="A8" s="279" t="str">
        <f>+'S&amp;D'!A12</f>
        <v>Electric Wholesale (non-regulated) Power Generator</v>
      </c>
      <c r="B8" s="280"/>
      <c r="C8" s="207"/>
      <c r="D8" s="12"/>
      <c r="E8" s="12"/>
      <c r="F8" s="12"/>
      <c r="G8" s="32" t="s">
        <v>92</v>
      </c>
      <c r="H8" s="12"/>
      <c r="I8" s="12"/>
      <c r="J8" s="12"/>
      <c r="K8" s="12"/>
      <c r="L8" s="12"/>
    </row>
    <row r="9" spans="1:12" ht="18">
      <c r="A9" s="31"/>
      <c r="B9" s="12"/>
      <c r="C9" s="12"/>
      <c r="D9" s="12"/>
      <c r="E9" s="12"/>
      <c r="F9" s="12"/>
      <c r="G9" s="91" t="s">
        <v>93</v>
      </c>
      <c r="H9" s="12"/>
      <c r="I9" s="12"/>
      <c r="J9" s="12"/>
      <c r="K9" s="12"/>
      <c r="L9" s="12"/>
    </row>
    <row r="10" spans="1:12" ht="18" customHeight="1" thickBot="1">
      <c r="A10" s="41" t="s">
        <v>0</v>
      </c>
      <c r="B10" s="41" t="s">
        <v>0</v>
      </c>
      <c r="C10" s="41" t="s">
        <v>0</v>
      </c>
      <c r="D10" s="12"/>
      <c r="E10" s="12"/>
      <c r="F10" s="34" t="s">
        <v>0</v>
      </c>
      <c r="G10" s="37" t="s">
        <v>90</v>
      </c>
      <c r="H10" s="34" t="s">
        <v>0</v>
      </c>
      <c r="I10" s="41" t="s">
        <v>0</v>
      </c>
      <c r="J10" s="12"/>
      <c r="K10" s="12"/>
      <c r="L10" s="12"/>
    </row>
    <row r="11" spans="1:12" ht="18" customHeight="1">
      <c r="A11" s="41"/>
      <c r="B11" s="41"/>
      <c r="C11" s="41"/>
      <c r="D11" s="12"/>
      <c r="E11" s="12"/>
      <c r="J11" s="12"/>
      <c r="K11" s="12"/>
      <c r="L11" s="12"/>
    </row>
    <row r="12" spans="1:12" ht="18" customHeight="1">
      <c r="A12" s="41"/>
      <c r="B12" s="41"/>
      <c r="C12" s="41"/>
      <c r="D12" s="12"/>
      <c r="E12" s="12"/>
      <c r="G12" s="13" t="s">
        <v>0</v>
      </c>
      <c r="J12" s="12"/>
      <c r="K12" s="12"/>
      <c r="L12" s="12"/>
    </row>
    <row r="13" spans="1:12" ht="15.75" thickBot="1">
      <c r="A13" s="34"/>
      <c r="B13" s="34"/>
      <c r="C13" s="34"/>
      <c r="D13" s="34"/>
      <c r="E13" s="37"/>
      <c r="F13" s="34"/>
      <c r="G13" s="34"/>
      <c r="H13" s="34"/>
      <c r="I13" s="34"/>
      <c r="J13" s="29"/>
      <c r="K13" s="29"/>
      <c r="L13" s="29"/>
    </row>
    <row r="14" spans="1:12" ht="15" customHeight="1" thickBot="1">
      <c r="A14" s="34" t="s">
        <v>24</v>
      </c>
      <c r="B14" s="34" t="s">
        <v>105</v>
      </c>
      <c r="C14" s="34" t="s">
        <v>106</v>
      </c>
      <c r="D14" s="42" t="s">
        <v>107</v>
      </c>
      <c r="E14" s="34" t="s">
        <v>108</v>
      </c>
      <c r="F14" s="34" t="s">
        <v>109</v>
      </c>
      <c r="G14" s="34" t="s">
        <v>110</v>
      </c>
      <c r="H14" s="34" t="s">
        <v>111</v>
      </c>
      <c r="I14" s="34" t="s">
        <v>112</v>
      </c>
      <c r="J14" s="34" t="s">
        <v>113</v>
      </c>
      <c r="K14" s="34" t="s">
        <v>114</v>
      </c>
      <c r="L14" s="34" t="s">
        <v>122</v>
      </c>
    </row>
    <row r="15" spans="1:12">
      <c r="A15" s="35" t="s">
        <v>0</v>
      </c>
      <c r="B15" s="35" t="s">
        <v>3</v>
      </c>
      <c r="C15" s="35" t="s">
        <v>94</v>
      </c>
      <c r="D15" s="35" t="s">
        <v>97</v>
      </c>
      <c r="E15" s="35" t="s">
        <v>97</v>
      </c>
      <c r="F15" s="35" t="s">
        <v>98</v>
      </c>
      <c r="G15" s="35" t="s">
        <v>101</v>
      </c>
      <c r="H15" s="35" t="s">
        <v>103</v>
      </c>
      <c r="I15" s="35" t="s">
        <v>125</v>
      </c>
      <c r="J15" s="35" t="s">
        <v>125</v>
      </c>
      <c r="K15" s="35" t="s">
        <v>118</v>
      </c>
      <c r="L15" s="35" t="s">
        <v>120</v>
      </c>
    </row>
    <row r="16" spans="1:12" ht="15.75" thickBot="1">
      <c r="A16" s="37" t="s">
        <v>2</v>
      </c>
      <c r="B16" s="37" t="s">
        <v>4</v>
      </c>
      <c r="C16" s="37" t="s">
        <v>95</v>
      </c>
      <c r="D16" s="37" t="s">
        <v>100</v>
      </c>
      <c r="E16" s="37" t="s">
        <v>99</v>
      </c>
      <c r="F16" s="37" t="s">
        <v>19</v>
      </c>
      <c r="G16" s="37" t="s">
        <v>102</v>
      </c>
      <c r="H16" s="37" t="s">
        <v>104</v>
      </c>
      <c r="I16" s="37" t="s">
        <v>0</v>
      </c>
      <c r="J16" s="37" t="s">
        <v>0</v>
      </c>
      <c r="K16" s="37" t="s">
        <v>119</v>
      </c>
      <c r="L16" s="37" t="s">
        <v>101</v>
      </c>
    </row>
    <row r="17" spans="1:12">
      <c r="A17" s="43" t="s">
        <v>7</v>
      </c>
      <c r="B17" s="43" t="s">
        <v>7</v>
      </c>
      <c r="C17" s="43" t="s">
        <v>96</v>
      </c>
      <c r="D17" s="43" t="s">
        <v>264</v>
      </c>
      <c r="E17" s="43" t="s">
        <v>264</v>
      </c>
      <c r="F17" s="43" t="s">
        <v>123</v>
      </c>
      <c r="G17" s="43" t="s">
        <v>263</v>
      </c>
      <c r="H17" s="43" t="s">
        <v>115</v>
      </c>
      <c r="I17" s="43" t="s">
        <v>116</v>
      </c>
      <c r="J17" s="43" t="s">
        <v>117</v>
      </c>
      <c r="K17" s="43" t="s">
        <v>124</v>
      </c>
      <c r="L17" s="43" t="s">
        <v>121</v>
      </c>
    </row>
    <row r="18" spans="1:12">
      <c r="A18" s="35"/>
      <c r="B18" s="35"/>
      <c r="C18" s="35"/>
      <c r="D18" s="35"/>
      <c r="E18" s="35"/>
      <c r="F18" s="35"/>
      <c r="G18" s="35"/>
      <c r="H18" s="35"/>
      <c r="I18" s="35"/>
      <c r="J18" s="35"/>
      <c r="K18" s="35"/>
      <c r="L18" s="35"/>
    </row>
    <row r="19" spans="1:12">
      <c r="A19" s="12"/>
      <c r="B19" s="12"/>
      <c r="C19" s="12"/>
      <c r="D19" s="12" t="s">
        <v>0</v>
      </c>
      <c r="E19" s="12" t="s">
        <v>0</v>
      </c>
      <c r="F19" s="12" t="s">
        <v>0</v>
      </c>
      <c r="G19" s="12" t="s">
        <v>0</v>
      </c>
      <c r="H19" s="12"/>
      <c r="I19" s="12"/>
      <c r="J19" s="12"/>
      <c r="K19" s="12"/>
      <c r="L19" s="12"/>
    </row>
    <row r="20" spans="1:12" ht="22.5" customHeight="1">
      <c r="A20" s="64" t="str">
        <f>+'S&amp;D'!A22</f>
        <v>AES CORPORATION</v>
      </c>
      <c r="B20" s="91" t="str">
        <f>+'S&amp;D'!B22</f>
        <v>AES</v>
      </c>
      <c r="C20" s="67">
        <f>+'Growth &amp; Inflation Rates'!D93</f>
        <v>2.366E-2</v>
      </c>
      <c r="D20" s="314">
        <v>26599000000</v>
      </c>
      <c r="E20" s="144">
        <v>25552000000</v>
      </c>
      <c r="F20" s="144">
        <f>(D20+E20)/2</f>
        <v>26075500000</v>
      </c>
      <c r="G20" s="144">
        <v>1053000000</v>
      </c>
      <c r="H20" s="18">
        <f t="shared" ref="H20:H25" si="0">+F20/G20</f>
        <v>24.763057929724596</v>
      </c>
      <c r="I20" s="45">
        <f>+C20*H20</f>
        <v>0.585893950617284</v>
      </c>
      <c r="J20" s="46">
        <f>1/(1+C20)^H20</f>
        <v>0.56041917518844642</v>
      </c>
      <c r="K20" s="145">
        <f>(G20*I20)/(1-J20)</f>
        <v>1403487811.9728773</v>
      </c>
      <c r="L20" s="146">
        <f>+K20/G20</f>
        <v>1.3328469249505008</v>
      </c>
    </row>
    <row r="21" spans="1:12" ht="22.5" customHeight="1">
      <c r="A21" s="64" t="str">
        <f>+'S&amp;D'!A23</f>
        <v>DOMINION ENERGY INC</v>
      </c>
      <c r="B21" s="91" t="str">
        <f>+'S&amp;D'!B23</f>
        <v>D</v>
      </c>
      <c r="C21" s="67">
        <f>+'Growth &amp; Inflation Rates'!D93</f>
        <v>2.366E-2</v>
      </c>
      <c r="D21" s="314">
        <v>91202000000</v>
      </c>
      <c r="E21" s="144">
        <v>86503000000</v>
      </c>
      <c r="F21" s="144">
        <f t="shared" ref="F21:F26" si="1">(D21+E21)/2</f>
        <v>88852500000</v>
      </c>
      <c r="G21" s="144">
        <v>2830000000</v>
      </c>
      <c r="H21" s="18">
        <f t="shared" si="0"/>
        <v>31.396643109540637</v>
      </c>
      <c r="I21" s="45">
        <f t="shared" ref="I21:I26" si="2">+C21*H21</f>
        <v>0.74284457597173148</v>
      </c>
      <c r="J21" s="46">
        <f t="shared" ref="J21:J26" si="3">1/(1+C21)^H21</f>
        <v>0.47989261238716635</v>
      </c>
      <c r="K21" s="145">
        <f t="shared" ref="K21:K26" si="4">(G21*I21)/(1-J21)</f>
        <v>4041954027.3188896</v>
      </c>
      <c r="L21" s="146">
        <f t="shared" ref="L21:L26" si="5">+K21/G21</f>
        <v>1.4282523064731059</v>
      </c>
    </row>
    <row r="22" spans="1:12" ht="22.5" customHeight="1">
      <c r="A22" s="64" t="str">
        <f>+'S&amp;D'!A24</f>
        <v>EXELON CORPORATION</v>
      </c>
      <c r="B22" s="91" t="str">
        <f>+'S&amp;D'!B24</f>
        <v>EXC</v>
      </c>
      <c r="C22" s="67">
        <f>+'Growth &amp; Inflation Rates'!D93</f>
        <v>2.366E-2</v>
      </c>
      <c r="D22" s="314">
        <f>69076000000+15930000000</f>
        <v>85006000000</v>
      </c>
      <c r="E22" s="144">
        <f>64558000000+14430000000</f>
        <v>78988000000</v>
      </c>
      <c r="F22" s="144">
        <f>(D22+E22)/2</f>
        <v>81997000000</v>
      </c>
      <c r="G22" s="144">
        <v>3325000000</v>
      </c>
      <c r="H22" s="18">
        <f t="shared" si="0"/>
        <v>24.660751879699248</v>
      </c>
      <c r="I22" s="45">
        <f t="shared" si="2"/>
        <v>0.58347338947368421</v>
      </c>
      <c r="J22" s="46">
        <f t="shared" si="3"/>
        <v>0.56176151008979047</v>
      </c>
      <c r="K22" s="145">
        <f t="shared" si="4"/>
        <v>4426925212.3369989</v>
      </c>
      <c r="L22" s="146">
        <f t="shared" si="5"/>
        <v>1.3314060788983455</v>
      </c>
    </row>
    <row r="23" spans="1:12" ht="22.5" customHeight="1">
      <c r="A23" s="64" t="str">
        <f>+'S&amp;D'!A25</f>
        <v>NEXTERA ENERGY INC</v>
      </c>
      <c r="B23" s="91" t="str">
        <f>+'S&amp;D'!B25</f>
        <v>NEE</v>
      </c>
      <c r="C23" s="67">
        <f>+'Growth &amp; Inflation Rates'!D93</f>
        <v>2.366E-2</v>
      </c>
      <c r="D23" s="314">
        <v>142322000000</v>
      </c>
      <c r="E23" s="144">
        <v>128247000000</v>
      </c>
      <c r="F23" s="144">
        <f>(D23+E23)/2</f>
        <v>135284500000</v>
      </c>
      <c r="G23" s="144">
        <v>4503000000</v>
      </c>
      <c r="H23" s="18">
        <f t="shared" si="0"/>
        <v>30.043193426604486</v>
      </c>
      <c r="I23" s="45">
        <f t="shared" ref="I23" si="6">+C23*H23</f>
        <v>0.71082195647346214</v>
      </c>
      <c r="J23" s="46">
        <f t="shared" ref="J23" si="7">1/(1+C23)^H23</f>
        <v>0.49532396235309345</v>
      </c>
      <c r="K23" s="145">
        <f t="shared" ref="K23" si="8">(G23*I23)/(1-J23)</f>
        <v>6342348420.0362244</v>
      </c>
      <c r="L23" s="146">
        <f t="shared" ref="L23" si="9">+K23/G23</f>
        <v>1.4084717788221683</v>
      </c>
    </row>
    <row r="24" spans="1:12" ht="22.5" customHeight="1">
      <c r="A24" s="64" t="str">
        <f>+'S&amp;D'!A26</f>
        <v>NRG ENERGY</v>
      </c>
      <c r="B24" s="91" t="str">
        <f>+'S&amp;D'!B26</f>
        <v>NRG</v>
      </c>
      <c r="C24" s="67">
        <f>+'Growth &amp; Inflation Rates'!D93</f>
        <v>2.366E-2</v>
      </c>
      <c r="D24" s="314">
        <v>3170000000</v>
      </c>
      <c r="E24" s="144">
        <v>2996000000</v>
      </c>
      <c r="F24" s="144">
        <f t="shared" si="1"/>
        <v>3083000000</v>
      </c>
      <c r="G24" s="144">
        <v>291000000</v>
      </c>
      <c r="H24" s="18">
        <f t="shared" si="0"/>
        <v>10.594501718213058</v>
      </c>
      <c r="I24" s="45">
        <f t="shared" si="2"/>
        <v>0.25066591065292099</v>
      </c>
      <c r="J24" s="46">
        <f t="shared" si="3"/>
        <v>0.78055779566831984</v>
      </c>
      <c r="K24" s="145">
        <f t="shared" si="4"/>
        <v>332405428.67381936</v>
      </c>
      <c r="L24" s="146">
        <f t="shared" si="5"/>
        <v>1.142286696473606</v>
      </c>
    </row>
    <row r="25" spans="1:12" ht="22.5" customHeight="1">
      <c r="A25" s="64" t="str">
        <f>+'S&amp;D'!A27</f>
        <v>SOUTHERN COMPANY</v>
      </c>
      <c r="B25" s="91" t="str">
        <f>+'S&amp;D'!B27</f>
        <v>SO</v>
      </c>
      <c r="C25" s="67">
        <f>+'Growth &amp; Inflation Rates'!D93</f>
        <v>2.366E-2</v>
      </c>
      <c r="D25" s="314">
        <f>(117529+599+843+10896)*1000000</f>
        <v>129867000000</v>
      </c>
      <c r="E25" s="144">
        <f>(115592+824+8771)*1000000</f>
        <v>125187000000</v>
      </c>
      <c r="F25" s="144">
        <f t="shared" si="1"/>
        <v>127527000000</v>
      </c>
      <c r="G25" s="144">
        <v>3663000000</v>
      </c>
      <c r="H25" s="18">
        <f t="shared" si="0"/>
        <v>34.814905814905813</v>
      </c>
      <c r="I25" s="45">
        <f t="shared" si="2"/>
        <v>0.82372067158067153</v>
      </c>
      <c r="J25" s="46">
        <f t="shared" si="3"/>
        <v>0.443025882898195</v>
      </c>
      <c r="K25" s="145">
        <f t="shared" si="4"/>
        <v>5417287316.1509819</v>
      </c>
      <c r="L25" s="146">
        <f t="shared" si="5"/>
        <v>1.4789209162301342</v>
      </c>
    </row>
    <row r="26" spans="1:12" ht="22.5" customHeight="1">
      <c r="A26" s="64" t="str">
        <f>+'S&amp;D'!A28</f>
        <v>VISTRA ENERGY CORPORATION</v>
      </c>
      <c r="B26" s="91" t="str">
        <f>+'S&amp;D'!B28</f>
        <v>VST</v>
      </c>
      <c r="C26" s="67">
        <f>+'Growth &amp; Inflation Rates'!D93</f>
        <v>2.366E-2</v>
      </c>
      <c r="D26" s="314">
        <v>18307000000</v>
      </c>
      <c r="E26" s="144">
        <v>17857000000</v>
      </c>
      <c r="F26" s="144">
        <f t="shared" si="1"/>
        <v>18082000000</v>
      </c>
      <c r="G26" s="144">
        <v>1596000000</v>
      </c>
      <c r="H26" s="18">
        <f t="shared" ref="H26" si="10">+F26/G26</f>
        <v>11.329573934837093</v>
      </c>
      <c r="I26" s="45">
        <f t="shared" si="2"/>
        <v>0.26805771929824562</v>
      </c>
      <c r="J26" s="46">
        <f t="shared" si="3"/>
        <v>0.76725524872972839</v>
      </c>
      <c r="K26" s="145">
        <f t="shared" si="4"/>
        <v>1838151527.2204778</v>
      </c>
      <c r="L26" s="146">
        <f t="shared" si="5"/>
        <v>1.1517240145491716</v>
      </c>
    </row>
    <row r="27" spans="1:12" ht="22.5" customHeight="1" thickBot="1">
      <c r="A27" s="12"/>
      <c r="B27" s="12"/>
      <c r="D27" s="47"/>
      <c r="E27" s="47"/>
      <c r="F27" s="47"/>
      <c r="G27" s="47" t="s">
        <v>52</v>
      </c>
      <c r="H27" s="47"/>
      <c r="I27" s="47" t="s">
        <v>52</v>
      </c>
      <c r="J27" s="47"/>
      <c r="K27" s="47"/>
      <c r="L27" s="47"/>
    </row>
    <row r="28" spans="1:12" ht="22.5" customHeight="1" thickTop="1">
      <c r="A28" s="12"/>
      <c r="B28" s="12"/>
      <c r="D28" s="48" t="s">
        <v>0</v>
      </c>
      <c r="E28" s="35" t="s">
        <v>0</v>
      </c>
      <c r="F28" s="35"/>
      <c r="G28" s="48" t="s">
        <v>0</v>
      </c>
      <c r="H28" s="35"/>
      <c r="I28" s="48" t="s">
        <v>0</v>
      </c>
      <c r="J28" s="48" t="s">
        <v>0</v>
      </c>
      <c r="K28" s="14" t="s">
        <v>53</v>
      </c>
      <c r="L28" s="310">
        <v>1.4789000000000001</v>
      </c>
    </row>
    <row r="29" spans="1:12" ht="22.5" customHeight="1">
      <c r="B29" s="12"/>
      <c r="D29" s="35" t="s">
        <v>0</v>
      </c>
      <c r="E29" s="35" t="s">
        <v>0</v>
      </c>
      <c r="F29" s="35"/>
      <c r="G29" s="384" t="s">
        <v>0</v>
      </c>
      <c r="H29" s="35"/>
      <c r="I29" s="48"/>
      <c r="J29" s="48"/>
      <c r="K29" s="14" t="s">
        <v>54</v>
      </c>
      <c r="L29" s="311">
        <v>1.0704</v>
      </c>
    </row>
    <row r="30" spans="1:12" ht="22.5" customHeight="1">
      <c r="B30" s="12"/>
      <c r="C30" s="12"/>
      <c r="D30" s="315" t="s">
        <v>0</v>
      </c>
      <c r="E30" s="12" t="s">
        <v>0</v>
      </c>
      <c r="F30" s="12"/>
      <c r="G30" s="12" t="s">
        <v>0</v>
      </c>
      <c r="H30" s="12"/>
      <c r="I30" s="12"/>
      <c r="J30" s="12"/>
      <c r="K30" s="14" t="s">
        <v>18</v>
      </c>
      <c r="L30" s="56">
        <f>MEDIAN(L20:L26)</f>
        <v>1.3328469249505008</v>
      </c>
    </row>
    <row r="31" spans="1:12" ht="22.5" customHeight="1">
      <c r="A31" s="12"/>
      <c r="B31" s="12"/>
      <c r="C31" s="12"/>
      <c r="D31" s="12" t="s">
        <v>0</v>
      </c>
      <c r="E31" s="12"/>
      <c r="F31" s="12"/>
      <c r="G31" s="12"/>
      <c r="H31" s="12"/>
      <c r="I31" s="12"/>
      <c r="J31" s="12"/>
      <c r="K31" s="14" t="s">
        <v>457</v>
      </c>
      <c r="L31" s="56">
        <f>AVERAGE(L20:L26)</f>
        <v>1.3248441023424333</v>
      </c>
    </row>
    <row r="32" spans="1:12" ht="22.5" customHeight="1" thickBot="1">
      <c r="A32" s="12"/>
      <c r="B32" s="12"/>
      <c r="C32" s="12"/>
      <c r="D32" s="12"/>
      <c r="E32" s="12"/>
      <c r="F32" s="12"/>
      <c r="G32" s="12" t="s">
        <v>0</v>
      </c>
      <c r="H32" s="12"/>
      <c r="I32" s="12"/>
      <c r="J32" s="12"/>
      <c r="K32" s="12"/>
      <c r="L32" s="12"/>
    </row>
    <row r="33" spans="1:12" ht="22.5" customHeight="1" thickBot="1">
      <c r="A33" s="12"/>
      <c r="B33" s="12"/>
      <c r="C33" s="12"/>
      <c r="D33" s="12"/>
      <c r="E33" s="12"/>
      <c r="F33" s="12"/>
      <c r="G33" s="12"/>
      <c r="H33" s="12"/>
      <c r="I33" s="12"/>
      <c r="J33" s="12"/>
      <c r="K33" s="213" t="s">
        <v>229</v>
      </c>
      <c r="L33" s="414">
        <v>1.3248</v>
      </c>
    </row>
    <row r="34" spans="1:12">
      <c r="A34" s="12"/>
      <c r="B34" s="12"/>
      <c r="C34" s="12"/>
      <c r="D34" s="12"/>
      <c r="E34" s="12"/>
      <c r="F34" s="12"/>
      <c r="G34" s="12"/>
      <c r="H34" s="12"/>
      <c r="I34" s="12"/>
      <c r="J34" s="12"/>
      <c r="K34" s="12"/>
      <c r="L34" s="12"/>
    </row>
    <row r="35" spans="1:12">
      <c r="A35" s="12"/>
      <c r="B35" s="12"/>
      <c r="C35" s="12"/>
      <c r="D35" s="12"/>
      <c r="E35" s="12"/>
      <c r="F35" s="12"/>
      <c r="G35" s="12"/>
      <c r="H35" s="12"/>
      <c r="I35" s="12"/>
      <c r="J35" s="12"/>
      <c r="K35" s="12"/>
      <c r="L35" s="12"/>
    </row>
    <row r="36" spans="1:12" ht="18">
      <c r="A36" s="31" t="s">
        <v>86</v>
      </c>
      <c r="B36" s="12"/>
      <c r="C36" s="12"/>
      <c r="D36" s="12"/>
      <c r="E36" s="12"/>
      <c r="F36" s="12"/>
      <c r="G36" s="12"/>
      <c r="H36" s="12"/>
      <c r="I36" s="12"/>
      <c r="J36" s="12"/>
      <c r="K36" s="12"/>
      <c r="L36" s="12"/>
    </row>
    <row r="37" spans="1:12">
      <c r="A37" s="12" t="s">
        <v>288</v>
      </c>
    </row>
    <row r="38" spans="1:12">
      <c r="A38" s="12"/>
    </row>
    <row r="39" spans="1:12">
      <c r="A39" s="12" t="s">
        <v>399</v>
      </c>
    </row>
    <row r="40" spans="1:12" ht="18">
      <c r="A40" s="251"/>
      <c r="B40" s="251"/>
      <c r="C40" s="251"/>
      <c r="D40" s="251"/>
      <c r="E40" s="251"/>
      <c r="F40" s="251"/>
      <c r="G40" s="251"/>
      <c r="H40" s="251"/>
      <c r="I40" s="251"/>
      <c r="J40" s="251"/>
      <c r="K40" s="251"/>
      <c r="L40" s="251"/>
    </row>
    <row r="41" spans="1:12" ht="20.25">
      <c r="A41" s="24" t="s">
        <v>1</v>
      </c>
      <c r="B41" s="12"/>
      <c r="C41" s="12"/>
      <c r="D41" s="12"/>
      <c r="E41" s="12"/>
      <c r="F41" s="12"/>
      <c r="G41" s="12"/>
      <c r="H41" s="12"/>
      <c r="I41" s="12"/>
      <c r="J41" s="12"/>
      <c r="K41" s="251"/>
      <c r="L41" s="251"/>
    </row>
    <row r="42" spans="1:12" ht="18">
      <c r="A42" s="25" t="s">
        <v>9</v>
      </c>
      <c r="B42" s="12"/>
      <c r="C42" s="12"/>
      <c r="D42" s="12"/>
      <c r="E42" s="12"/>
      <c r="F42" s="12"/>
      <c r="G42" s="12"/>
      <c r="H42" s="12"/>
      <c r="I42" s="12"/>
      <c r="J42" s="12"/>
      <c r="K42" s="251"/>
      <c r="L42" s="251"/>
    </row>
    <row r="43" spans="1:12" ht="18">
      <c r="A43" s="26" t="s">
        <v>76</v>
      </c>
      <c r="B43" s="12"/>
      <c r="C43" s="12"/>
      <c r="D43" s="12"/>
      <c r="E43" s="12"/>
      <c r="F43" s="12"/>
      <c r="G43" s="12"/>
      <c r="H43" s="12"/>
      <c r="I43" s="12"/>
      <c r="J43" s="12"/>
      <c r="K43" s="251"/>
      <c r="L43" s="251"/>
    </row>
    <row r="44" spans="1:12" ht="18">
      <c r="A44" s="26"/>
      <c r="B44" s="12"/>
      <c r="C44" s="12"/>
      <c r="D44" s="12"/>
      <c r="E44" s="12"/>
      <c r="F44" s="12"/>
      <c r="G44" s="12"/>
      <c r="H44" s="12"/>
      <c r="I44" s="12"/>
      <c r="J44" s="12"/>
      <c r="K44" s="251"/>
      <c r="L44" s="251"/>
    </row>
    <row r="45" spans="1:12" ht="18">
      <c r="A45" s="26"/>
      <c r="B45" s="12"/>
      <c r="C45" s="12"/>
      <c r="D45" s="12"/>
      <c r="E45" s="12"/>
      <c r="F45" s="12"/>
      <c r="G45" s="12"/>
      <c r="H45" s="12"/>
      <c r="I45" s="12"/>
      <c r="J45" s="12"/>
      <c r="K45" s="251"/>
      <c r="L45" s="251"/>
    </row>
    <row r="46" spans="1:12" ht="18">
      <c r="A46" s="26"/>
      <c r="B46" s="12"/>
      <c r="C46" s="12"/>
      <c r="D46" s="12"/>
      <c r="E46" s="12"/>
      <c r="F46" s="12"/>
      <c r="G46" s="12"/>
      <c r="H46" s="12"/>
      <c r="I46" s="12"/>
      <c r="J46" s="12"/>
      <c r="K46" s="251"/>
      <c r="L46" s="251"/>
    </row>
    <row r="47" spans="1:12" ht="18.75" thickBot="1">
      <c r="A47" s="12"/>
      <c r="B47" s="12"/>
      <c r="C47" s="12"/>
      <c r="D47" s="12"/>
      <c r="E47" s="12"/>
      <c r="F47" s="29"/>
      <c r="G47" s="29"/>
      <c r="H47" s="30" t="s">
        <v>0</v>
      </c>
      <c r="I47" s="12"/>
      <c r="J47" s="12"/>
      <c r="K47" s="251"/>
      <c r="L47" s="251"/>
    </row>
    <row r="48" spans="1:12" ht="21" thickBot="1">
      <c r="A48" s="28" t="s">
        <v>44</v>
      </c>
      <c r="B48" s="12"/>
      <c r="C48" s="12"/>
      <c r="D48" s="12"/>
      <c r="E48" s="12"/>
      <c r="F48" s="12"/>
      <c r="G48" s="32" t="s">
        <v>314</v>
      </c>
      <c r="H48" s="12"/>
      <c r="I48" s="12"/>
      <c r="J48" s="12"/>
      <c r="K48" s="251"/>
      <c r="L48" s="251"/>
    </row>
    <row r="49" spans="1:12" ht="18.75" thickBot="1">
      <c r="A49" s="41" t="s">
        <v>0</v>
      </c>
      <c r="B49" s="41" t="s">
        <v>0</v>
      </c>
      <c r="C49" s="41" t="s">
        <v>0</v>
      </c>
      <c r="D49" s="12"/>
      <c r="E49" s="12"/>
      <c r="F49" s="34" t="s">
        <v>0</v>
      </c>
      <c r="G49" s="37" t="s">
        <v>90</v>
      </c>
      <c r="H49" s="34" t="s">
        <v>0</v>
      </c>
      <c r="I49" s="41" t="s">
        <v>0</v>
      </c>
      <c r="J49" s="12"/>
      <c r="K49" s="251"/>
      <c r="L49" s="251"/>
    </row>
    <row r="50" spans="1:12" ht="18">
      <c r="A50" s="251"/>
      <c r="B50" s="251"/>
      <c r="C50" s="251"/>
      <c r="D50" s="251"/>
      <c r="E50" s="251"/>
      <c r="F50" s="251"/>
      <c r="G50" s="251"/>
      <c r="H50" s="251"/>
      <c r="I50" s="251"/>
      <c r="J50" s="251"/>
      <c r="K50" s="251"/>
      <c r="L50" s="251"/>
    </row>
    <row r="51" spans="1:12" ht="18">
      <c r="A51" s="251"/>
      <c r="B51" s="251"/>
      <c r="C51" s="251"/>
      <c r="D51" s="251"/>
      <c r="E51" s="251"/>
      <c r="F51" s="251"/>
      <c r="G51" s="251"/>
      <c r="H51" s="251"/>
      <c r="I51" s="251"/>
      <c r="J51" s="251"/>
      <c r="K51" s="251"/>
      <c r="L51" s="251"/>
    </row>
    <row r="52" spans="1:12" ht="18">
      <c r="A52" s="251"/>
      <c r="B52" s="251"/>
      <c r="C52" s="251"/>
      <c r="D52" s="251"/>
      <c r="E52" s="251"/>
      <c r="F52" s="251"/>
      <c r="G52" s="251"/>
      <c r="H52" s="251"/>
      <c r="I52" s="251"/>
      <c r="J52" s="251"/>
      <c r="K52" s="251"/>
      <c r="L52" s="251"/>
    </row>
    <row r="53" spans="1:12">
      <c r="A53" s="41"/>
      <c r="B53" s="41"/>
      <c r="C53" s="41"/>
      <c r="D53" s="12"/>
      <c r="E53" s="12"/>
      <c r="J53" s="12"/>
      <c r="K53" s="12"/>
      <c r="L53" s="12"/>
    </row>
    <row r="54" spans="1:12" ht="25.5">
      <c r="A54" s="245" t="s">
        <v>303</v>
      </c>
      <c r="B54" s="41"/>
      <c r="C54" s="247" t="s">
        <v>308</v>
      </c>
      <c r="D54" s="12"/>
      <c r="E54" s="12"/>
      <c r="J54" s="12"/>
      <c r="K54" s="12"/>
      <c r="L54" s="12"/>
    </row>
    <row r="55" spans="1:12" ht="25.5">
      <c r="A55" s="245" t="s">
        <v>307</v>
      </c>
      <c r="B55" s="41"/>
      <c r="C55" s="247" t="s">
        <v>313</v>
      </c>
      <c r="D55" s="12"/>
      <c r="E55" s="12"/>
      <c r="J55" s="12"/>
      <c r="K55" s="12"/>
      <c r="L55" s="12"/>
    </row>
    <row r="56" spans="1:12" ht="18.75" customHeight="1">
      <c r="A56" s="245"/>
      <c r="B56" s="41"/>
      <c r="C56" s="247"/>
      <c r="D56" s="12"/>
      <c r="E56" s="12"/>
      <c r="J56" s="12"/>
      <c r="K56" s="12"/>
      <c r="L56" s="12"/>
    </row>
    <row r="57" spans="1:12" ht="15.75">
      <c r="A57" s="246" t="s">
        <v>304</v>
      </c>
      <c r="B57" s="41"/>
      <c r="C57" s="41"/>
      <c r="D57" s="12"/>
      <c r="E57" s="12"/>
      <c r="J57" s="12"/>
      <c r="K57" s="12"/>
      <c r="L57" s="12"/>
    </row>
    <row r="58" spans="1:12" ht="15.75">
      <c r="A58" s="246" t="s">
        <v>305</v>
      </c>
      <c r="B58" s="41"/>
      <c r="C58" s="41"/>
      <c r="D58" s="12"/>
      <c r="E58" s="12"/>
      <c r="J58" s="12"/>
      <c r="K58" s="12"/>
      <c r="L58" s="12"/>
    </row>
    <row r="59" spans="1:12" ht="15.75">
      <c r="A59" s="246" t="s">
        <v>306</v>
      </c>
      <c r="B59" s="41"/>
      <c r="C59" s="41"/>
      <c r="D59" s="12"/>
      <c r="E59" s="12"/>
      <c r="J59" s="12"/>
      <c r="K59" s="12"/>
      <c r="L59" s="12"/>
    </row>
    <row r="65" spans="1:9" ht="25.5">
      <c r="A65" s="248" t="s">
        <v>312</v>
      </c>
      <c r="B65" s="112"/>
      <c r="C65" s="112"/>
      <c r="D65" s="112"/>
      <c r="E65" s="112"/>
      <c r="F65" s="112"/>
      <c r="G65" s="12"/>
      <c r="H65" s="12"/>
      <c r="I65" s="12"/>
    </row>
    <row r="66" spans="1:9" ht="15.75">
      <c r="A66" s="112"/>
      <c r="B66" s="112"/>
      <c r="C66" s="112"/>
      <c r="D66" s="112"/>
      <c r="E66" s="112"/>
      <c r="F66" s="112"/>
      <c r="G66" s="12"/>
      <c r="H66" s="12"/>
      <c r="I66" s="12"/>
    </row>
    <row r="67" spans="1:9" ht="16.5" thickBot="1">
      <c r="A67" s="249" t="s">
        <v>309</v>
      </c>
      <c r="B67" s="114"/>
      <c r="C67" s="114"/>
      <c r="D67" s="250" t="s">
        <v>311</v>
      </c>
      <c r="E67" s="114"/>
      <c r="F67" s="112"/>
      <c r="G67" s="12"/>
      <c r="H67" s="12"/>
      <c r="I67" s="12"/>
    </row>
    <row r="68" spans="1:9" ht="15.75">
      <c r="A68" s="112"/>
      <c r="B68" s="112"/>
      <c r="C68" s="112"/>
      <c r="D68" s="112" t="s">
        <v>310</v>
      </c>
      <c r="E68" s="112"/>
      <c r="F68" s="112"/>
      <c r="G68" s="12"/>
      <c r="H68" s="12"/>
      <c r="I68" s="12"/>
    </row>
    <row r="69" spans="1:9" ht="15.75">
      <c r="A69" s="112"/>
      <c r="B69" s="112"/>
      <c r="C69" s="112"/>
      <c r="D69" s="112"/>
      <c r="E69" s="112"/>
      <c r="F69" s="112"/>
      <c r="G69" s="12"/>
      <c r="H69" s="12"/>
      <c r="I69" s="12"/>
    </row>
    <row r="70" spans="1:9">
      <c r="A70" s="12"/>
      <c r="B70" s="12"/>
      <c r="C70" s="12"/>
      <c r="D70" s="12"/>
      <c r="E70" s="12"/>
      <c r="F70" s="12"/>
      <c r="G70" s="12"/>
      <c r="H70" s="12"/>
      <c r="I70" s="12"/>
    </row>
    <row r="71" spans="1:9">
      <c r="A71" s="12"/>
      <c r="B71" s="12"/>
      <c r="C71" s="12"/>
      <c r="D71" s="12"/>
      <c r="E71" s="12"/>
      <c r="F71" s="12"/>
      <c r="G71" s="12"/>
      <c r="H71" s="12"/>
      <c r="I71" s="12"/>
    </row>
    <row r="72" spans="1:9">
      <c r="A72" s="12"/>
      <c r="B72" s="12"/>
      <c r="C72" s="12"/>
      <c r="D72" s="12"/>
      <c r="E72" s="12"/>
      <c r="F72" s="12"/>
      <c r="G72" s="12"/>
      <c r="H72" s="12"/>
      <c r="I72" s="12"/>
    </row>
    <row r="73" spans="1:9">
      <c r="A73" s="12"/>
      <c r="B73" s="12"/>
      <c r="C73" s="12"/>
      <c r="D73" s="12"/>
      <c r="E73" s="12"/>
      <c r="F73" s="12"/>
      <c r="G73" s="12"/>
      <c r="H73" s="12"/>
      <c r="I73" s="12"/>
    </row>
    <row r="74" spans="1:9">
      <c r="A74" s="12"/>
      <c r="B74" s="12"/>
      <c r="C74" s="12"/>
      <c r="D74" s="12"/>
      <c r="E74" s="12"/>
      <c r="F74" s="12"/>
      <c r="G74" s="12"/>
      <c r="H74" s="12"/>
      <c r="I74" s="12"/>
    </row>
    <row r="75" spans="1:9">
      <c r="A75" s="12" t="s">
        <v>0</v>
      </c>
      <c r="B75" s="12"/>
      <c r="C75" s="12"/>
      <c r="D75" s="12"/>
      <c r="E75" s="12"/>
      <c r="F75" s="12"/>
      <c r="G75" s="12"/>
      <c r="H75" s="12"/>
      <c r="I75" s="12"/>
    </row>
    <row r="76" spans="1:9">
      <c r="A76" s="12"/>
      <c r="B76" s="12"/>
      <c r="C76" s="12"/>
      <c r="D76" s="12"/>
      <c r="E76" s="12"/>
      <c r="F76" s="12"/>
      <c r="G76" s="12"/>
      <c r="H76" s="12"/>
      <c r="I76" s="12"/>
    </row>
  </sheetData>
  <pageMargins left="0.25" right="0.25" top="0.75" bottom="0.75" header="0.3" footer="0.3"/>
  <pageSetup scale="51" orientation="landscape" r:id="rId1"/>
  <rowBreaks count="1" manualBreakCount="1">
    <brk id="39" max="11"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19DCF-8362-451B-93E3-8D44BC877730}">
  <sheetPr>
    <tabColor rgb="FF92D050"/>
  </sheetPr>
  <dimension ref="A1:I34"/>
  <sheetViews>
    <sheetView view="pageBreakPreview" zoomScale="60" zoomScaleNormal="80" workbookViewId="0">
      <selection activeCell="G17" sqref="G17"/>
    </sheetView>
  </sheetViews>
  <sheetFormatPr defaultRowHeight="15"/>
  <cols>
    <col min="1" max="1" width="50.140625" customWidth="1"/>
    <col min="2" max="2" width="17" customWidth="1"/>
    <col min="3" max="3" width="24.5703125" customWidth="1"/>
    <col min="4" max="4" width="16.85546875" customWidth="1"/>
    <col min="5" max="5" width="23.5703125" customWidth="1"/>
    <col min="6" max="6" width="22.85546875" customWidth="1"/>
    <col min="7" max="7" width="21.28515625" customWidth="1"/>
    <col min="8" max="8" width="19.7109375" customWidth="1"/>
    <col min="9" max="9" width="32.140625" customWidth="1"/>
    <col min="10" max="10" width="14.140625" bestFit="1" customWidth="1"/>
    <col min="12" max="12" width="10.5703125" customWidth="1"/>
  </cols>
  <sheetData>
    <row r="1" spans="1:9" ht="20.25">
      <c r="A1" s="24" t="s">
        <v>1</v>
      </c>
      <c r="B1" s="12"/>
      <c r="C1" s="12"/>
      <c r="D1" s="12"/>
      <c r="E1" s="12"/>
      <c r="F1" s="12"/>
      <c r="G1" s="12"/>
      <c r="H1" s="12"/>
      <c r="I1" s="12"/>
    </row>
    <row r="2" spans="1:9" ht="15.75">
      <c r="A2" s="25" t="s">
        <v>9</v>
      </c>
      <c r="B2" s="12"/>
      <c r="C2" s="12"/>
      <c r="D2" s="12"/>
      <c r="E2" s="12"/>
      <c r="F2" s="12"/>
      <c r="G2" s="12"/>
      <c r="H2" s="12"/>
      <c r="I2" s="12"/>
    </row>
    <row r="3" spans="1:9">
      <c r="A3" s="26" t="s">
        <v>76</v>
      </c>
      <c r="B3" s="12"/>
      <c r="C3" s="12"/>
      <c r="D3" s="12"/>
      <c r="E3" s="12"/>
      <c r="F3" s="12"/>
      <c r="G3" s="12"/>
      <c r="H3" s="12"/>
      <c r="I3" s="12"/>
    </row>
    <row r="4" spans="1:9">
      <c r="A4" s="26"/>
      <c r="B4" s="12"/>
      <c r="C4" s="12"/>
      <c r="D4" s="12"/>
      <c r="E4" s="12"/>
      <c r="F4" s="12"/>
      <c r="G4" s="12"/>
      <c r="H4" s="12"/>
      <c r="I4" s="12"/>
    </row>
    <row r="5" spans="1:9">
      <c r="A5" s="26"/>
      <c r="B5" s="12"/>
      <c r="C5" s="12"/>
      <c r="D5" s="12"/>
      <c r="E5" s="12"/>
      <c r="F5" s="12"/>
      <c r="G5" s="12"/>
      <c r="H5" s="12"/>
      <c r="I5" s="12"/>
    </row>
    <row r="6" spans="1:9">
      <c r="A6" s="26"/>
      <c r="B6" s="12"/>
      <c r="C6" s="12"/>
      <c r="D6" s="12"/>
      <c r="E6" s="12"/>
      <c r="F6" s="12"/>
      <c r="G6" s="12"/>
      <c r="H6" s="12"/>
      <c r="I6" s="12"/>
    </row>
    <row r="7" spans="1:9" ht="15.75" thickBot="1">
      <c r="A7" s="12"/>
      <c r="B7" s="12"/>
      <c r="C7" s="12"/>
      <c r="H7" s="27"/>
      <c r="I7" s="12"/>
    </row>
    <row r="8" spans="1:9" ht="18.75" thickBot="1">
      <c r="A8" s="279" t="str">
        <f>+'S&amp;D'!A12</f>
        <v>Electric Wholesale (non-regulated) Power Generator</v>
      </c>
      <c r="B8" s="207"/>
      <c r="C8" s="12"/>
      <c r="D8" s="29"/>
      <c r="E8" s="29"/>
      <c r="F8" s="29"/>
      <c r="H8" s="12"/>
      <c r="I8" s="12"/>
    </row>
    <row r="9" spans="1:9" ht="20.25">
      <c r="A9" s="31"/>
      <c r="B9" s="12"/>
      <c r="C9" s="12"/>
      <c r="D9" s="12"/>
      <c r="E9" s="32" t="s">
        <v>139</v>
      </c>
      <c r="F9" s="32"/>
      <c r="H9" s="12"/>
      <c r="I9" s="12"/>
    </row>
    <row r="10" spans="1:9" ht="18.75" thickBot="1">
      <c r="A10" s="31"/>
      <c r="B10" s="12"/>
      <c r="C10" s="12"/>
      <c r="D10" s="29"/>
      <c r="E10" s="37" t="s">
        <v>90</v>
      </c>
      <c r="F10" s="37"/>
      <c r="H10" s="12"/>
      <c r="I10" s="12"/>
    </row>
    <row r="11" spans="1:9" ht="18">
      <c r="A11" s="31"/>
      <c r="B11" s="12"/>
      <c r="I11" s="12"/>
    </row>
    <row r="12" spans="1:9" ht="15.75" thickBot="1">
      <c r="A12" s="34" t="s">
        <v>0</v>
      </c>
      <c r="B12" s="34" t="s">
        <v>0</v>
      </c>
      <c r="C12" s="34" t="s">
        <v>0</v>
      </c>
      <c r="D12" s="34" t="s">
        <v>0</v>
      </c>
      <c r="E12" s="34" t="s">
        <v>0</v>
      </c>
      <c r="F12" s="34"/>
      <c r="G12" s="34"/>
      <c r="H12" s="29"/>
      <c r="I12" s="29"/>
    </row>
    <row r="13" spans="1:9" ht="15.75">
      <c r="A13" s="91" t="s">
        <v>0</v>
      </c>
      <c r="B13" s="91" t="s">
        <v>3</v>
      </c>
      <c r="C13" s="91" t="s">
        <v>5</v>
      </c>
      <c r="D13" s="91" t="s">
        <v>21</v>
      </c>
      <c r="E13" s="193" t="s">
        <v>250</v>
      </c>
      <c r="F13" s="193" t="s">
        <v>357</v>
      </c>
      <c r="G13" s="91" t="s">
        <v>20</v>
      </c>
      <c r="H13" s="91" t="s">
        <v>163</v>
      </c>
      <c r="I13" s="91" t="s">
        <v>163</v>
      </c>
    </row>
    <row r="14" spans="1:9" ht="16.5" thickBot="1">
      <c r="A14" s="100" t="s">
        <v>2</v>
      </c>
      <c r="B14" s="100" t="s">
        <v>4</v>
      </c>
      <c r="C14" s="100" t="s">
        <v>6</v>
      </c>
      <c r="D14" s="100" t="s">
        <v>23</v>
      </c>
      <c r="E14" s="100" t="s">
        <v>358</v>
      </c>
      <c r="F14" s="100" t="s">
        <v>210</v>
      </c>
      <c r="G14" s="100" t="s">
        <v>22</v>
      </c>
      <c r="H14" s="100" t="s">
        <v>186</v>
      </c>
      <c r="I14" s="100" t="s">
        <v>135</v>
      </c>
    </row>
    <row r="15" spans="1:9">
      <c r="A15" s="39" t="s">
        <v>7</v>
      </c>
      <c r="B15" s="39" t="s">
        <v>7</v>
      </c>
      <c r="C15" s="39" t="s">
        <v>7</v>
      </c>
      <c r="D15" s="39" t="s">
        <v>7</v>
      </c>
      <c r="E15" s="241" t="s">
        <v>293</v>
      </c>
      <c r="F15" s="241" t="s">
        <v>293</v>
      </c>
      <c r="G15" s="39" t="s">
        <v>7</v>
      </c>
      <c r="H15" s="39" t="s">
        <v>7</v>
      </c>
      <c r="I15" s="241" t="s">
        <v>293</v>
      </c>
    </row>
    <row r="16" spans="1:9">
      <c r="A16" s="35"/>
      <c r="B16" s="35"/>
      <c r="C16" s="35"/>
      <c r="D16" s="35"/>
      <c r="G16" s="35"/>
      <c r="H16" s="35"/>
      <c r="I16" s="35"/>
    </row>
    <row r="17" spans="1:9">
      <c r="A17" s="12"/>
      <c r="B17" s="12"/>
      <c r="C17" s="12"/>
      <c r="D17" s="12"/>
      <c r="G17" s="12"/>
      <c r="H17" s="12"/>
      <c r="I17" s="12"/>
    </row>
    <row r="18" spans="1:9" ht="20.25" customHeight="1">
      <c r="A18" s="64" t="str">
        <f>+'S&amp;D'!A22</f>
        <v>AES CORPORATION</v>
      </c>
      <c r="B18" s="91" t="str">
        <f>+'S&amp;D'!B22</f>
        <v>AES</v>
      </c>
      <c r="C18" s="91" t="str">
        <f>+'S&amp;D'!C22</f>
        <v>Power Wholesale</v>
      </c>
      <c r="D18" s="307" t="s">
        <v>394</v>
      </c>
      <c r="E18" s="148">
        <v>0.15</v>
      </c>
      <c r="F18" s="148">
        <v>5.5E-2</v>
      </c>
      <c r="G18" s="91" t="s">
        <v>105</v>
      </c>
      <c r="H18" s="368">
        <v>1.1000000000000001</v>
      </c>
      <c r="I18" s="368">
        <v>1.1000000000000001</v>
      </c>
    </row>
    <row r="19" spans="1:9" ht="20.25" customHeight="1">
      <c r="A19" s="64" t="str">
        <f>+'S&amp;D'!A23</f>
        <v>DOMINION ENERGY INC</v>
      </c>
      <c r="B19" s="91" t="str">
        <f>+'S&amp;D'!B23</f>
        <v>D</v>
      </c>
      <c r="C19" s="91" t="str">
        <f>+'S&amp;D'!C23</f>
        <v>Power Wholesale</v>
      </c>
      <c r="D19" s="149">
        <v>0.17</v>
      </c>
      <c r="E19" s="148">
        <v>0.125</v>
      </c>
      <c r="F19" s="148">
        <v>4.4999999999999998E-2</v>
      </c>
      <c r="G19" s="91" t="s">
        <v>26</v>
      </c>
      <c r="H19" s="368">
        <v>0.85</v>
      </c>
      <c r="I19" s="368">
        <v>0.8</v>
      </c>
    </row>
    <row r="20" spans="1:9" ht="20.25" customHeight="1">
      <c r="A20" s="64" t="str">
        <f>+'S&amp;D'!A24</f>
        <v>EXELON CORPORATION</v>
      </c>
      <c r="B20" s="91" t="str">
        <f>+'S&amp;D'!B24</f>
        <v>EXC</v>
      </c>
      <c r="C20" s="91" t="str">
        <f>+'S&amp;D'!C24</f>
        <v>Power Wholesale</v>
      </c>
      <c r="D20" s="149">
        <v>0.13500000000000001</v>
      </c>
      <c r="E20" s="148">
        <v>9.5000000000000001E-2</v>
      </c>
      <c r="F20" s="148">
        <v>0.04</v>
      </c>
      <c r="G20" s="91" t="s">
        <v>26</v>
      </c>
      <c r="H20" s="368">
        <v>0.95</v>
      </c>
      <c r="I20" s="371" t="s">
        <v>438</v>
      </c>
    </row>
    <row r="21" spans="1:9" ht="20.25" customHeight="1">
      <c r="A21" s="64" t="str">
        <f>+'S&amp;D'!A25</f>
        <v>NEXTERA ENERGY INC</v>
      </c>
      <c r="B21" s="91" t="str">
        <f>+'S&amp;D'!B25</f>
        <v>NEE</v>
      </c>
      <c r="C21" s="91" t="str">
        <f>+'S&amp;D'!C25</f>
        <v>Power Wholesale</v>
      </c>
      <c r="D21" s="149">
        <v>0.182</v>
      </c>
      <c r="E21" s="148">
        <v>0.14000000000000001</v>
      </c>
      <c r="F21" s="148">
        <v>0.06</v>
      </c>
      <c r="G21" s="91" t="s">
        <v>51</v>
      </c>
      <c r="H21" s="368">
        <v>1.05</v>
      </c>
      <c r="I21" s="368">
        <v>0.95</v>
      </c>
    </row>
    <row r="22" spans="1:9" ht="20.25" customHeight="1">
      <c r="A22" s="64" t="str">
        <f>+'S&amp;D'!A26</f>
        <v>NRG ENERGY</v>
      </c>
      <c r="B22" s="91" t="str">
        <f>+'S&amp;D'!B26</f>
        <v>NRG</v>
      </c>
      <c r="C22" s="91" t="str">
        <f>+'S&amp;D'!C26</f>
        <v>Power Wholesale</v>
      </c>
      <c r="D22" s="149">
        <v>0.26500000000000001</v>
      </c>
      <c r="E22" s="148">
        <v>0.34499999999999997</v>
      </c>
      <c r="F22" s="148">
        <v>0.26500000000000001</v>
      </c>
      <c r="G22" s="91" t="s">
        <v>25</v>
      </c>
      <c r="H22" s="368">
        <v>1.1499999999999999</v>
      </c>
      <c r="I22" s="368">
        <v>1.1000000000000001</v>
      </c>
    </row>
    <row r="23" spans="1:9" ht="20.25" customHeight="1">
      <c r="A23" s="64" t="str">
        <f>+'S&amp;D'!A27</f>
        <v>SOUTHERN COMPANY</v>
      </c>
      <c r="B23" s="91" t="str">
        <f>+'S&amp;D'!B27</f>
        <v>SO</v>
      </c>
      <c r="C23" s="91" t="str">
        <f>+'S&amp;D'!C27</f>
        <v>Power Wholesale</v>
      </c>
      <c r="D23" s="149">
        <v>0.15</v>
      </c>
      <c r="E23" s="148">
        <v>0.13</v>
      </c>
      <c r="F23" s="148">
        <v>3.5000000000000003E-2</v>
      </c>
      <c r="G23" s="91" t="s">
        <v>24</v>
      </c>
      <c r="H23" s="368">
        <v>0.95</v>
      </c>
      <c r="I23" s="368">
        <v>0.9</v>
      </c>
    </row>
    <row r="24" spans="1:9" ht="20.25" customHeight="1" thickBot="1">
      <c r="A24" s="64" t="str">
        <f>+'S&amp;D'!A28</f>
        <v>VISTRA ENERGY CORPORATION</v>
      </c>
      <c r="B24" s="91" t="str">
        <f>+'S&amp;D'!B28</f>
        <v>VST</v>
      </c>
      <c r="C24" s="91" t="str">
        <f>+'S&amp;D'!C28</f>
        <v>Power Wholesale</v>
      </c>
      <c r="D24" s="149">
        <v>0.23</v>
      </c>
      <c r="E24" s="148">
        <v>0.20499999999999999</v>
      </c>
      <c r="F24" s="148">
        <v>6.5000000000000002E-2</v>
      </c>
      <c r="G24" s="91" t="s">
        <v>25</v>
      </c>
      <c r="H24" s="372">
        <v>1.1000000000000001</v>
      </c>
      <c r="I24" s="372">
        <v>1.1000000000000001</v>
      </c>
    </row>
    <row r="25" spans="1:9" ht="20.25" customHeight="1" thickTop="1">
      <c r="A25" s="112"/>
      <c r="B25" s="112"/>
      <c r="C25" s="4"/>
      <c r="D25" s="189" t="s">
        <v>0</v>
      </c>
      <c r="E25" s="4"/>
      <c r="F25" s="4"/>
      <c r="G25" s="127" t="s">
        <v>53</v>
      </c>
      <c r="H25" s="308">
        <v>1.1499999999999999</v>
      </c>
      <c r="I25" s="308">
        <v>1.1000000000000001</v>
      </c>
    </row>
    <row r="26" spans="1:9" ht="20.25" customHeight="1">
      <c r="A26" s="112"/>
      <c r="B26" s="112"/>
      <c r="C26" s="4"/>
      <c r="D26" s="189" t="s">
        <v>0</v>
      </c>
      <c r="E26" s="4"/>
      <c r="F26" s="4"/>
      <c r="G26" s="318" t="s">
        <v>54</v>
      </c>
      <c r="H26" s="343">
        <v>0.95</v>
      </c>
      <c r="I26" s="343">
        <v>0.8</v>
      </c>
    </row>
    <row r="27" spans="1:9" ht="20.25" customHeight="1">
      <c r="A27" s="112"/>
      <c r="B27" s="112"/>
      <c r="C27" s="4"/>
      <c r="D27" s="190" t="s">
        <v>0</v>
      </c>
      <c r="E27" s="4"/>
      <c r="F27" s="4"/>
      <c r="G27" s="127" t="s">
        <v>18</v>
      </c>
      <c r="H27" s="191">
        <f>MEDIAN(H18:H24)</f>
        <v>1.05</v>
      </c>
      <c r="I27" s="191">
        <f>MEDIAN(I18:I24)</f>
        <v>1.0249999999999999</v>
      </c>
    </row>
    <row r="28" spans="1:9" ht="20.25" customHeight="1">
      <c r="A28" s="112"/>
      <c r="B28" s="112"/>
      <c r="C28" s="4"/>
      <c r="D28" s="130" t="s">
        <v>0</v>
      </c>
      <c r="E28" s="4"/>
      <c r="F28" s="4"/>
      <c r="G28" s="127" t="s">
        <v>457</v>
      </c>
      <c r="H28" s="192">
        <f>AVERAGE(H18:H24)</f>
        <v>1.0214285714285716</v>
      </c>
      <c r="I28" s="192">
        <f>AVERAGE(I18:I24)</f>
        <v>0.99166666666666681</v>
      </c>
    </row>
    <row r="29" spans="1:9" ht="20.25" customHeight="1" thickBot="1">
      <c r="A29" s="12"/>
      <c r="B29" s="12"/>
      <c r="C29" s="12"/>
      <c r="D29" s="12"/>
      <c r="G29" s="12"/>
      <c r="H29" s="12"/>
      <c r="I29" s="12"/>
    </row>
    <row r="30" spans="1:9" ht="20.25" customHeight="1" thickBot="1">
      <c r="A30" s="12"/>
      <c r="B30" s="12"/>
      <c r="C30" s="12"/>
      <c r="D30" s="12"/>
      <c r="G30" s="12"/>
      <c r="H30" s="213" t="s">
        <v>88</v>
      </c>
      <c r="I30" s="313">
        <v>0.99</v>
      </c>
    </row>
    <row r="33" spans="1:1" ht="15.75">
      <c r="A33" s="112" t="s">
        <v>359</v>
      </c>
    </row>
    <row r="34" spans="1:1" ht="15.75">
      <c r="A34" s="112" t="s">
        <v>360</v>
      </c>
    </row>
  </sheetData>
  <pageMargins left="0.25" right="0.25" top="0.75" bottom="0.75" header="0.3" footer="0.3"/>
  <pageSetup scale="5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596C7-3CA4-4A86-9548-2C135C060B79}">
  <sheetPr>
    <tabColor rgb="FF92D050"/>
  </sheetPr>
  <dimension ref="A1:K30"/>
  <sheetViews>
    <sheetView view="pageBreakPreview" zoomScale="60" zoomScaleNormal="80" workbookViewId="0">
      <selection activeCell="G4" sqref="G4"/>
    </sheetView>
  </sheetViews>
  <sheetFormatPr defaultRowHeight="15"/>
  <cols>
    <col min="1" max="1" width="56.28515625" customWidth="1"/>
    <col min="2" max="2" width="10.85546875" customWidth="1"/>
    <col min="3" max="3" width="23.7109375" customWidth="1"/>
    <col min="4" max="4" width="15.28515625" customWidth="1"/>
    <col min="5" max="5" width="16" customWidth="1"/>
    <col min="6" max="6" width="20" customWidth="1"/>
    <col min="7" max="7" width="16.5703125" customWidth="1"/>
    <col min="8" max="8" width="19.140625" customWidth="1"/>
    <col min="9" max="10" width="20.140625" customWidth="1"/>
    <col min="11" max="11" width="17.7109375" customWidth="1"/>
    <col min="12" max="12" width="23.7109375" customWidth="1"/>
  </cols>
  <sheetData>
    <row r="1" spans="1:11" ht="20.25">
      <c r="A1" s="24" t="s">
        <v>1</v>
      </c>
      <c r="B1" s="12"/>
      <c r="C1" s="12"/>
      <c r="D1" s="12"/>
      <c r="E1" s="12"/>
      <c r="F1" s="12"/>
      <c r="G1" s="12"/>
      <c r="H1" s="12"/>
      <c r="I1" s="12"/>
      <c r="J1" s="12"/>
    </row>
    <row r="2" spans="1:11" ht="15.75">
      <c r="A2" s="25" t="s">
        <v>9</v>
      </c>
      <c r="B2" s="12"/>
      <c r="C2" s="12"/>
      <c r="D2" s="12"/>
      <c r="E2" s="12"/>
      <c r="F2" s="12"/>
      <c r="G2" s="12"/>
      <c r="H2" s="12"/>
      <c r="I2" s="12"/>
      <c r="J2" s="12"/>
    </row>
    <row r="3" spans="1:11">
      <c r="A3" s="26" t="s">
        <v>76</v>
      </c>
      <c r="B3" s="12"/>
      <c r="C3" s="12"/>
      <c r="D3" s="12"/>
      <c r="E3" s="12"/>
      <c r="F3" s="12"/>
      <c r="G3" s="12"/>
      <c r="H3" s="12"/>
      <c r="I3" s="12"/>
      <c r="J3" s="12"/>
    </row>
    <row r="4" spans="1:11">
      <c r="A4" s="26"/>
      <c r="B4" s="12"/>
      <c r="C4" s="12"/>
      <c r="D4" s="12"/>
      <c r="E4" s="12"/>
      <c r="F4" s="12"/>
      <c r="G4" s="12"/>
      <c r="H4" s="12"/>
      <c r="I4" s="12"/>
      <c r="J4" s="12"/>
    </row>
    <row r="5" spans="1:11" ht="15.75" thickBot="1">
      <c r="A5" s="12"/>
      <c r="B5" s="12"/>
      <c r="C5" s="12"/>
      <c r="D5" s="12"/>
      <c r="E5" s="12"/>
      <c r="F5" s="12"/>
      <c r="G5" s="27"/>
      <c r="H5" s="12"/>
      <c r="I5" s="12"/>
      <c r="J5" s="12"/>
    </row>
    <row r="6" spans="1:11" ht="18.75" thickBot="1">
      <c r="A6" s="279" t="str">
        <f>+'S&amp;D'!A12</f>
        <v>Electric Wholesale (non-regulated) Power Generator</v>
      </c>
      <c r="B6" s="207"/>
      <c r="C6" s="12"/>
      <c r="D6" s="29"/>
      <c r="E6" s="29"/>
      <c r="F6" s="30" t="s">
        <v>0</v>
      </c>
      <c r="G6" s="12"/>
      <c r="H6" s="12"/>
      <c r="I6" s="12"/>
      <c r="J6" s="12"/>
    </row>
    <row r="7" spans="1:11" ht="20.25">
      <c r="A7" s="31"/>
      <c r="B7" s="12"/>
      <c r="C7" s="12"/>
      <c r="D7" s="12"/>
      <c r="E7" s="32" t="s">
        <v>299</v>
      </c>
      <c r="F7" s="12"/>
      <c r="G7" s="12"/>
      <c r="H7" s="12"/>
      <c r="I7" s="12"/>
      <c r="J7" s="12"/>
    </row>
    <row r="8" spans="1:11" ht="18.75" thickBot="1">
      <c r="A8" s="31"/>
      <c r="B8" s="12"/>
      <c r="C8" s="12"/>
      <c r="D8" s="29"/>
      <c r="E8" s="33" t="s">
        <v>90</v>
      </c>
      <c r="F8" s="29"/>
      <c r="G8" s="12"/>
      <c r="H8" s="12"/>
      <c r="I8" s="12"/>
      <c r="J8" s="12"/>
    </row>
    <row r="9" spans="1:11" ht="15.75" thickBot="1">
      <c r="A9" s="34" t="s">
        <v>0</v>
      </c>
      <c r="B9" s="34" t="s">
        <v>0</v>
      </c>
      <c r="C9" s="34" t="s">
        <v>0</v>
      </c>
      <c r="D9" s="34" t="s">
        <v>0</v>
      </c>
      <c r="E9" s="34" t="s">
        <v>0</v>
      </c>
      <c r="F9" s="34"/>
      <c r="G9" s="29"/>
      <c r="H9" s="29"/>
      <c r="I9" s="29"/>
      <c r="J9" s="29"/>
      <c r="K9" s="161"/>
    </row>
    <row r="10" spans="1:11">
      <c r="A10" s="35" t="s">
        <v>0</v>
      </c>
      <c r="B10" s="35" t="s">
        <v>3</v>
      </c>
      <c r="C10" s="35" t="s">
        <v>5</v>
      </c>
      <c r="D10" s="35" t="s">
        <v>182</v>
      </c>
      <c r="E10" s="35" t="s">
        <v>189</v>
      </c>
      <c r="F10" s="35" t="s">
        <v>189</v>
      </c>
      <c r="G10" s="35" t="s">
        <v>189</v>
      </c>
      <c r="H10" s="35" t="s">
        <v>189</v>
      </c>
      <c r="I10" s="35" t="s">
        <v>189</v>
      </c>
      <c r="J10" s="35" t="s">
        <v>189</v>
      </c>
      <c r="K10" s="35" t="s">
        <v>296</v>
      </c>
    </row>
    <row r="11" spans="1:11">
      <c r="A11" s="35"/>
      <c r="B11" s="35" t="s">
        <v>4</v>
      </c>
      <c r="C11" s="35" t="s">
        <v>6</v>
      </c>
      <c r="D11" s="35" t="s">
        <v>28</v>
      </c>
      <c r="E11" s="35" t="s">
        <v>184</v>
      </c>
      <c r="F11" s="35" t="s">
        <v>136</v>
      </c>
      <c r="G11" s="35" t="s">
        <v>184</v>
      </c>
      <c r="H11" s="35" t="s">
        <v>136</v>
      </c>
      <c r="I11" s="35" t="s">
        <v>184</v>
      </c>
      <c r="J11" s="35" t="s">
        <v>136</v>
      </c>
      <c r="K11" s="35" t="s">
        <v>200</v>
      </c>
    </row>
    <row r="12" spans="1:11" ht="15.75" thickBot="1">
      <c r="A12" s="37" t="s">
        <v>2</v>
      </c>
      <c r="B12" s="37" t="s">
        <v>0</v>
      </c>
      <c r="C12" s="37" t="s">
        <v>0</v>
      </c>
      <c r="D12" s="37" t="s">
        <v>0</v>
      </c>
      <c r="E12" s="37" t="s">
        <v>186</v>
      </c>
      <c r="F12" s="37" t="s">
        <v>186</v>
      </c>
      <c r="G12" s="37" t="s">
        <v>294</v>
      </c>
      <c r="H12" s="37" t="s">
        <v>294</v>
      </c>
      <c r="I12" s="37" t="s">
        <v>295</v>
      </c>
      <c r="J12" s="37" t="s">
        <v>295</v>
      </c>
      <c r="K12" s="243" t="s">
        <v>297</v>
      </c>
    </row>
    <row r="13" spans="1:11">
      <c r="A13" s="39" t="s">
        <v>7</v>
      </c>
      <c r="B13" s="39" t="s">
        <v>7</v>
      </c>
      <c r="C13" s="39" t="s">
        <v>7</v>
      </c>
      <c r="D13" s="40" t="s">
        <v>129</v>
      </c>
      <c r="E13" s="39" t="s">
        <v>7</v>
      </c>
      <c r="F13" s="39" t="s">
        <v>0</v>
      </c>
      <c r="G13" s="39" t="s">
        <v>7</v>
      </c>
      <c r="H13" s="39" t="s">
        <v>0</v>
      </c>
      <c r="I13" s="39" t="s">
        <v>7</v>
      </c>
      <c r="J13" s="39" t="s">
        <v>0</v>
      </c>
      <c r="K13" s="39" t="s">
        <v>0</v>
      </c>
    </row>
    <row r="14" spans="1:11">
      <c r="A14" s="35"/>
      <c r="B14" s="35"/>
      <c r="C14" s="35"/>
      <c r="D14" s="35"/>
      <c r="E14" s="35"/>
      <c r="F14" s="35"/>
      <c r="G14" s="12"/>
      <c r="H14" s="12"/>
      <c r="I14" s="12"/>
      <c r="J14" s="12"/>
      <c r="K14" s="12"/>
    </row>
    <row r="15" spans="1:11">
      <c r="A15" s="12"/>
      <c r="B15" s="12"/>
      <c r="C15" s="12"/>
      <c r="D15" s="12"/>
      <c r="E15" s="12"/>
      <c r="F15" s="12"/>
      <c r="G15" s="12"/>
      <c r="H15" s="12"/>
      <c r="I15" s="12"/>
      <c r="J15" s="12"/>
      <c r="K15" s="12"/>
    </row>
    <row r="16" spans="1:11" ht="15.75">
      <c r="A16" s="64" t="str">
        <f>+'S&amp;D'!A22</f>
        <v>AES CORPORATION</v>
      </c>
      <c r="B16" s="91" t="str">
        <f>+'S&amp;D'!B22</f>
        <v>AES</v>
      </c>
      <c r="C16" s="91" t="str">
        <f>+'S&amp;D'!C22</f>
        <v>Power Wholesale</v>
      </c>
      <c r="D16" s="61">
        <f>+'S&amp;D'!G22</f>
        <v>28.76</v>
      </c>
      <c r="E16" s="369">
        <v>0.82</v>
      </c>
      <c r="F16" s="55">
        <f>+E16/D16</f>
        <v>2.8511821974965226E-2</v>
      </c>
      <c r="G16" s="369">
        <v>1.05</v>
      </c>
      <c r="H16" s="55">
        <f>+G16/D16</f>
        <v>3.6509040333796941E-2</v>
      </c>
      <c r="I16" s="369">
        <v>1.65</v>
      </c>
      <c r="J16" s="55">
        <f>+I16/D16</f>
        <v>5.7371349095966612E-2</v>
      </c>
      <c r="K16" s="370">
        <f t="shared" ref="K16:K22" si="0">RATE(3,,-G16,I16)</f>
        <v>0.16260329205681454</v>
      </c>
    </row>
    <row r="17" spans="1:11" ht="15.75">
      <c r="A17" s="64" t="str">
        <f>+'S&amp;D'!A23</f>
        <v>DOMINION ENERGY INC</v>
      </c>
      <c r="B17" s="91" t="str">
        <f>+'S&amp;D'!B23</f>
        <v>D</v>
      </c>
      <c r="C17" s="91" t="str">
        <f>+'S&amp;D'!C23</f>
        <v>Power Wholesale</v>
      </c>
      <c r="D17" s="61">
        <f>+'S&amp;D'!G23</f>
        <v>61.32</v>
      </c>
      <c r="E17" s="369">
        <v>4.0999999999999996</v>
      </c>
      <c r="F17" s="55">
        <f t="shared" ref="F17:F22" si="1">+E17/D17</f>
        <v>6.6862361382909324E-2</v>
      </c>
      <c r="G17" s="369">
        <v>4.2</v>
      </c>
      <c r="H17" s="55">
        <f t="shared" ref="H17:H22" si="2">+G17/D17</f>
        <v>6.8493150684931503E-2</v>
      </c>
      <c r="I17" s="369">
        <v>5.0999999999999996</v>
      </c>
      <c r="J17" s="55">
        <f t="shared" ref="J17:J22" si="3">+I17/D17</f>
        <v>8.3170254403131111E-2</v>
      </c>
      <c r="K17" s="370">
        <f t="shared" si="0"/>
        <v>6.6858844343088947E-2</v>
      </c>
    </row>
    <row r="18" spans="1:11" ht="15.75">
      <c r="A18" s="64" t="str">
        <f>+'S&amp;D'!A24</f>
        <v>EXELON CORPORATION</v>
      </c>
      <c r="B18" s="91" t="str">
        <f>+'S&amp;D'!B24</f>
        <v>EXC</v>
      </c>
      <c r="C18" s="91" t="str">
        <f>+'S&amp;D'!C24</f>
        <v>Power Wholesale</v>
      </c>
      <c r="D18" s="61">
        <f>+'S&amp;D'!G24</f>
        <v>43.23</v>
      </c>
      <c r="E18" s="369">
        <v>2.25</v>
      </c>
      <c r="F18" s="55">
        <f t="shared" si="1"/>
        <v>5.2047189451769608E-2</v>
      </c>
      <c r="G18" s="369">
        <v>2.4</v>
      </c>
      <c r="H18" s="55">
        <f t="shared" si="2"/>
        <v>5.5517002081887583E-2</v>
      </c>
      <c r="I18" s="369">
        <v>3</v>
      </c>
      <c r="J18" s="55">
        <f t="shared" si="3"/>
        <v>6.9396252602359473E-2</v>
      </c>
      <c r="K18" s="370">
        <f t="shared" si="0"/>
        <v>7.7217345015989369E-2</v>
      </c>
    </row>
    <row r="19" spans="1:11" ht="15.75">
      <c r="A19" s="64" t="str">
        <f>+'S&amp;D'!A25</f>
        <v>NEXTERA ENERGY INC</v>
      </c>
      <c r="B19" s="91" t="str">
        <f>+'S&amp;D'!B25</f>
        <v>NEE</v>
      </c>
      <c r="C19" s="91" t="str">
        <f>+'S&amp;D'!C25</f>
        <v>Power Wholesale</v>
      </c>
      <c r="D19" s="61">
        <f>+'S&amp;D'!G25</f>
        <v>83.6</v>
      </c>
      <c r="E19" s="369">
        <v>2.9</v>
      </c>
      <c r="F19" s="55">
        <f t="shared" si="1"/>
        <v>3.4688995215311005E-2</v>
      </c>
      <c r="G19" s="369">
        <v>3.15</v>
      </c>
      <c r="H19" s="55">
        <f t="shared" si="2"/>
        <v>3.7679425837320576E-2</v>
      </c>
      <c r="I19" s="369">
        <v>4.4000000000000004</v>
      </c>
      <c r="J19" s="55">
        <f t="shared" si="3"/>
        <v>5.2631578947368432E-2</v>
      </c>
      <c r="K19" s="370">
        <f t="shared" si="0"/>
        <v>0.11784273227128619</v>
      </c>
    </row>
    <row r="20" spans="1:11" ht="15.75">
      <c r="A20" s="64" t="str">
        <f>+'S&amp;D'!A26</f>
        <v>NRG ENERGY</v>
      </c>
      <c r="B20" s="91" t="str">
        <f>+'S&amp;D'!B26</f>
        <v>NRG</v>
      </c>
      <c r="C20" s="91" t="str">
        <f>+'S&amp;D'!C26</f>
        <v>Power Wholesale</v>
      </c>
      <c r="D20" s="61">
        <f>+'S&amp;D'!G26</f>
        <v>31.82</v>
      </c>
      <c r="E20" s="369">
        <v>5.17</v>
      </c>
      <c r="F20" s="55">
        <f t="shared" si="1"/>
        <v>0.16247642991829037</v>
      </c>
      <c r="G20" s="369">
        <v>6.3</v>
      </c>
      <c r="H20" s="55">
        <f t="shared" si="2"/>
        <v>0.19798868636077938</v>
      </c>
      <c r="I20" s="369">
        <v>4.5999999999999996</v>
      </c>
      <c r="J20" s="55">
        <f t="shared" si="3"/>
        <v>0.14456316781898176</v>
      </c>
      <c r="K20" s="370">
        <f t="shared" si="0"/>
        <v>-9.9523408734754112E-2</v>
      </c>
    </row>
    <row r="21" spans="1:11" ht="15.75">
      <c r="A21" s="64" t="str">
        <f>+'S&amp;D'!A27</f>
        <v>SOUTHERN COMPANY</v>
      </c>
      <c r="B21" s="91" t="str">
        <f>+'S&amp;D'!B27</f>
        <v>SO</v>
      </c>
      <c r="C21" s="91" t="str">
        <f>+'S&amp;D'!C27</f>
        <v>Power Wholesale</v>
      </c>
      <c r="D21" s="61">
        <f>+'S&amp;D'!G27</f>
        <v>71.41</v>
      </c>
      <c r="E21" s="369">
        <v>3.55</v>
      </c>
      <c r="F21" s="55">
        <f t="shared" si="1"/>
        <v>4.9712925360593754E-2</v>
      </c>
      <c r="G21" s="369">
        <v>3.7</v>
      </c>
      <c r="H21" s="55">
        <f t="shared" si="2"/>
        <v>5.1813471502590677E-2</v>
      </c>
      <c r="I21" s="369">
        <v>5.15</v>
      </c>
      <c r="J21" s="55">
        <f t="shared" si="3"/>
        <v>7.2118750875227566E-2</v>
      </c>
      <c r="K21" s="370">
        <f t="shared" si="0"/>
        <v>0.11652512828061469</v>
      </c>
    </row>
    <row r="22" spans="1:11" ht="15.75">
      <c r="A22" s="64" t="str">
        <f>+'S&amp;D'!A28</f>
        <v>VISTRA ENERGY CORPORATION</v>
      </c>
      <c r="B22" s="91" t="str">
        <f>+'S&amp;D'!B28</f>
        <v>VST</v>
      </c>
      <c r="C22" s="91" t="str">
        <f>+'S&amp;D'!C28</f>
        <v>Power Wholesale</v>
      </c>
      <c r="D22" s="61">
        <f>+'S&amp;D'!G28</f>
        <v>23.2</v>
      </c>
      <c r="E22" s="369">
        <v>2.9</v>
      </c>
      <c r="F22" s="55">
        <f t="shared" si="1"/>
        <v>0.125</v>
      </c>
      <c r="G22" s="369">
        <v>2.65</v>
      </c>
      <c r="H22" s="55">
        <f t="shared" si="2"/>
        <v>0.11422413793103449</v>
      </c>
      <c r="I22" s="369">
        <v>3.85</v>
      </c>
      <c r="J22" s="55">
        <f t="shared" si="3"/>
        <v>0.16594827586206898</v>
      </c>
      <c r="K22" s="370">
        <f t="shared" si="0"/>
        <v>0.13258712022560926</v>
      </c>
    </row>
    <row r="23" spans="1:11" ht="15.75" thickBot="1">
      <c r="A23" s="12"/>
      <c r="B23" s="12"/>
      <c r="C23" s="44"/>
      <c r="D23" s="47"/>
      <c r="E23" s="47"/>
      <c r="F23" s="47"/>
      <c r="G23" s="47"/>
      <c r="H23" s="47"/>
      <c r="I23" s="47"/>
      <c r="J23" s="47"/>
      <c r="K23" s="47"/>
    </row>
    <row r="24" spans="1:11" ht="15.75" thickTop="1">
      <c r="A24" s="12"/>
      <c r="B24" s="12"/>
      <c r="D24" s="14" t="s">
        <v>53</v>
      </c>
      <c r="E24" s="16">
        <v>5.17</v>
      </c>
      <c r="F24" s="310">
        <v>0.16250000000000001</v>
      </c>
      <c r="G24" s="16">
        <v>6.3</v>
      </c>
      <c r="H24" s="310">
        <v>0.19800000000000001</v>
      </c>
      <c r="I24" s="16">
        <v>5.15</v>
      </c>
      <c r="J24" s="310">
        <v>0.16589999999999999</v>
      </c>
      <c r="K24" s="310">
        <v>0.16259999999999999</v>
      </c>
    </row>
    <row r="25" spans="1:11">
      <c r="A25" s="12"/>
      <c r="B25" s="12"/>
      <c r="D25" s="14" t="s">
        <v>54</v>
      </c>
      <c r="E25" s="358">
        <v>0.82</v>
      </c>
      <c r="F25" s="311">
        <v>2.8500000000000001E-2</v>
      </c>
      <c r="G25" s="358">
        <v>1.05</v>
      </c>
      <c r="H25" s="311">
        <v>3.6499999999999998E-2</v>
      </c>
      <c r="I25" s="358">
        <v>1.65</v>
      </c>
      <c r="J25" s="311">
        <v>5.2600000000000001E-2</v>
      </c>
      <c r="K25" s="311">
        <v>-9.9500000000000005E-2</v>
      </c>
    </row>
    <row r="26" spans="1:11">
      <c r="A26" s="12"/>
      <c r="B26" s="12"/>
      <c r="D26" s="14" t="s">
        <v>18</v>
      </c>
      <c r="E26" s="17">
        <f t="shared" ref="E26:K26" si="4">MEDIAN(E16:E22)</f>
        <v>2.9</v>
      </c>
      <c r="F26" s="56">
        <f t="shared" si="4"/>
        <v>5.2047189451769608E-2</v>
      </c>
      <c r="G26" s="17">
        <f t="shared" si="4"/>
        <v>3.15</v>
      </c>
      <c r="H26" s="56">
        <f t="shared" si="4"/>
        <v>5.5517002081887583E-2</v>
      </c>
      <c r="I26" s="17">
        <f t="shared" si="4"/>
        <v>4.4000000000000004</v>
      </c>
      <c r="J26" s="56">
        <f t="shared" si="4"/>
        <v>7.2118750875227566E-2</v>
      </c>
      <c r="K26" s="56">
        <f t="shared" si="4"/>
        <v>0.11652512828061469</v>
      </c>
    </row>
    <row r="27" spans="1:11">
      <c r="A27" s="12"/>
      <c r="B27" s="12"/>
      <c r="D27" s="14" t="s">
        <v>457</v>
      </c>
      <c r="E27" s="21">
        <f t="shared" ref="E27:K27" si="5">AVERAGE(E16:E22)</f>
        <v>3.0985714285714283</v>
      </c>
      <c r="F27" s="58">
        <f t="shared" si="5"/>
        <v>7.4185674757691319E-2</v>
      </c>
      <c r="G27" s="21">
        <f t="shared" si="5"/>
        <v>3.35</v>
      </c>
      <c r="H27" s="58">
        <f t="shared" si="5"/>
        <v>8.0317844961763016E-2</v>
      </c>
      <c r="I27" s="21">
        <f t="shared" si="5"/>
        <v>3.9642857142857144</v>
      </c>
      <c r="J27" s="58">
        <f t="shared" si="5"/>
        <v>9.2171375657871993E-2</v>
      </c>
      <c r="K27" s="58">
        <f t="shared" si="5"/>
        <v>8.2015864779806977E-2</v>
      </c>
    </row>
    <row r="28" spans="1:11">
      <c r="A28" s="12"/>
      <c r="B28" s="12"/>
      <c r="D28" s="12"/>
      <c r="E28" s="12"/>
      <c r="F28" s="12"/>
      <c r="G28" s="12"/>
      <c r="H28" s="12"/>
      <c r="I28" s="12"/>
      <c r="J28" s="12"/>
      <c r="K28" s="12"/>
    </row>
    <row r="29" spans="1:11" ht="20.25">
      <c r="A29" s="12"/>
      <c r="B29" s="12"/>
      <c r="C29" s="12"/>
      <c r="D29" s="12"/>
      <c r="E29" s="12"/>
      <c r="F29" s="50" t="s">
        <v>0</v>
      </c>
      <c r="G29" s="65" t="s">
        <v>0</v>
      </c>
      <c r="H29" s="12"/>
      <c r="I29" s="12"/>
      <c r="J29" s="12"/>
      <c r="K29" s="12"/>
    </row>
    <row r="30" spans="1:11" ht="18.75">
      <c r="A30" s="244" t="s">
        <v>298</v>
      </c>
    </row>
  </sheetData>
  <pageMargins left="0.25" right="0.25" top="0.75" bottom="0.75" header="0.3" footer="0.3"/>
  <pageSetup scale="5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F0854-9225-4685-BC0B-402957CF1047}">
  <sheetPr>
    <tabColor rgb="FF92D050"/>
  </sheetPr>
  <dimension ref="A1:K30"/>
  <sheetViews>
    <sheetView view="pageBreakPreview" zoomScale="60" zoomScaleNormal="80" workbookViewId="0">
      <selection activeCell="E19" sqref="E19"/>
    </sheetView>
  </sheetViews>
  <sheetFormatPr defaultRowHeight="15"/>
  <cols>
    <col min="1" max="1" width="52.85546875" customWidth="1"/>
    <col min="2" max="2" width="15.28515625" customWidth="1"/>
    <col min="3" max="3" width="24.7109375" customWidth="1"/>
    <col min="4" max="4" width="15.28515625" customWidth="1"/>
    <col min="5" max="5" width="16" customWidth="1"/>
    <col min="6" max="6" width="20" customWidth="1"/>
    <col min="7" max="7" width="16.5703125" customWidth="1"/>
    <col min="8" max="8" width="19.140625" customWidth="1"/>
    <col min="9" max="10" width="20.140625" customWidth="1"/>
    <col min="11" max="11" width="17.7109375" customWidth="1"/>
    <col min="12" max="12" width="23.7109375" customWidth="1"/>
  </cols>
  <sheetData>
    <row r="1" spans="1:11" ht="20.25">
      <c r="A1" s="24" t="s">
        <v>1</v>
      </c>
      <c r="B1" s="12"/>
      <c r="C1" s="12"/>
      <c r="D1" s="12"/>
      <c r="E1" s="12"/>
      <c r="F1" s="12"/>
      <c r="G1" s="12"/>
      <c r="H1" s="12"/>
      <c r="I1" s="12"/>
      <c r="J1" s="12"/>
    </row>
    <row r="2" spans="1:11" ht="15.75">
      <c r="A2" s="25" t="s">
        <v>9</v>
      </c>
      <c r="B2" s="12"/>
      <c r="C2" s="12"/>
      <c r="D2" s="12"/>
      <c r="E2" s="12"/>
      <c r="F2" s="12"/>
      <c r="G2" s="12"/>
      <c r="H2" s="12"/>
      <c r="I2" s="12"/>
      <c r="J2" s="12"/>
    </row>
    <row r="3" spans="1:11">
      <c r="A3" s="26" t="s">
        <v>76</v>
      </c>
      <c r="B3" s="12"/>
      <c r="C3" s="12"/>
      <c r="D3" s="12"/>
      <c r="E3" s="12"/>
      <c r="F3" s="12"/>
      <c r="G3" s="12"/>
      <c r="H3" s="12"/>
      <c r="I3" s="12"/>
      <c r="J3" s="12"/>
    </row>
    <row r="4" spans="1:11">
      <c r="A4" s="26"/>
      <c r="B4" s="12"/>
      <c r="C4" s="12"/>
      <c r="D4" s="12"/>
      <c r="E4" s="12"/>
      <c r="F4" s="12"/>
      <c r="G4" s="12"/>
      <c r="H4" s="12"/>
      <c r="I4" s="12"/>
      <c r="J4" s="12"/>
    </row>
    <row r="5" spans="1:11" ht="15.75" thickBot="1">
      <c r="A5" s="12"/>
      <c r="B5" s="12"/>
      <c r="C5" s="12"/>
      <c r="D5" s="12"/>
      <c r="E5" s="12"/>
      <c r="F5" s="12"/>
      <c r="G5" s="27"/>
      <c r="H5" s="12"/>
      <c r="I5" s="12"/>
      <c r="J5" s="12"/>
    </row>
    <row r="6" spans="1:11" ht="18.75" thickBot="1">
      <c r="A6" s="279" t="str">
        <f>+'S&amp;D'!A12</f>
        <v>Electric Wholesale (non-regulated) Power Generator</v>
      </c>
      <c r="B6" s="207"/>
      <c r="C6" s="12"/>
      <c r="D6" s="29"/>
      <c r="E6" s="29"/>
      <c r="F6" s="30" t="s">
        <v>0</v>
      </c>
      <c r="G6" s="12"/>
      <c r="H6" s="12"/>
      <c r="I6" s="12"/>
      <c r="J6" s="12"/>
    </row>
    <row r="7" spans="1:11" ht="20.25">
      <c r="A7" s="31"/>
      <c r="B7" s="12"/>
      <c r="C7" s="12"/>
      <c r="D7" s="12"/>
      <c r="E7" s="32" t="s">
        <v>187</v>
      </c>
      <c r="F7" s="12"/>
      <c r="G7" s="12"/>
      <c r="H7" s="12"/>
      <c r="I7" s="12"/>
      <c r="J7" s="12"/>
    </row>
    <row r="8" spans="1:11" ht="18.75" thickBot="1">
      <c r="A8" s="31"/>
      <c r="B8" s="12"/>
      <c r="C8" s="12"/>
      <c r="D8" s="29"/>
      <c r="E8" s="33" t="s">
        <v>90</v>
      </c>
      <c r="F8" s="29"/>
      <c r="G8" s="12"/>
      <c r="H8" s="12"/>
      <c r="I8" s="12"/>
      <c r="J8" s="12"/>
    </row>
    <row r="9" spans="1:11" ht="15.75" thickBot="1">
      <c r="A9" s="34" t="s">
        <v>0</v>
      </c>
      <c r="B9" s="34" t="s">
        <v>0</v>
      </c>
      <c r="C9" s="34" t="s">
        <v>0</v>
      </c>
      <c r="D9" s="34" t="s">
        <v>0</v>
      </c>
      <c r="E9" s="34" t="s">
        <v>0</v>
      </c>
      <c r="F9" s="34"/>
      <c r="G9" s="29"/>
      <c r="H9" s="29"/>
      <c r="I9" s="29"/>
      <c r="J9" s="29"/>
      <c r="K9" s="161"/>
    </row>
    <row r="10" spans="1:11">
      <c r="A10" s="35" t="s">
        <v>0</v>
      </c>
      <c r="B10" s="35" t="s">
        <v>3</v>
      </c>
      <c r="C10" s="35" t="s">
        <v>5</v>
      </c>
      <c r="D10" s="35" t="s">
        <v>182</v>
      </c>
      <c r="E10" s="35" t="s">
        <v>183</v>
      </c>
      <c r="F10" s="35" t="s">
        <v>185</v>
      </c>
      <c r="G10" s="35" t="s">
        <v>183</v>
      </c>
      <c r="H10" s="35" t="s">
        <v>185</v>
      </c>
      <c r="I10" s="35" t="s">
        <v>183</v>
      </c>
      <c r="J10" s="35" t="s">
        <v>185</v>
      </c>
      <c r="K10" s="35" t="s">
        <v>296</v>
      </c>
    </row>
    <row r="11" spans="1:11">
      <c r="A11" s="35"/>
      <c r="B11" s="35" t="s">
        <v>4</v>
      </c>
      <c r="C11" s="35" t="s">
        <v>6</v>
      </c>
      <c r="D11" s="35" t="s">
        <v>28</v>
      </c>
      <c r="E11" s="35" t="s">
        <v>184</v>
      </c>
      <c r="F11" s="35" t="s">
        <v>136</v>
      </c>
      <c r="G11" s="35" t="s">
        <v>184</v>
      </c>
      <c r="H11" s="35" t="s">
        <v>136</v>
      </c>
      <c r="I11" s="35" t="s">
        <v>184</v>
      </c>
      <c r="J11" s="35" t="s">
        <v>136</v>
      </c>
      <c r="K11" s="35" t="s">
        <v>200</v>
      </c>
    </row>
    <row r="12" spans="1:11" ht="15.75" thickBot="1">
      <c r="A12" s="37" t="s">
        <v>2</v>
      </c>
      <c r="B12" s="37" t="s">
        <v>0</v>
      </c>
      <c r="C12" s="37" t="s">
        <v>0</v>
      </c>
      <c r="D12" s="37" t="s">
        <v>0</v>
      </c>
      <c r="E12" s="37" t="s">
        <v>186</v>
      </c>
      <c r="F12" s="37" t="s">
        <v>186</v>
      </c>
      <c r="G12" s="37" t="s">
        <v>294</v>
      </c>
      <c r="H12" s="37" t="s">
        <v>294</v>
      </c>
      <c r="I12" s="37" t="s">
        <v>295</v>
      </c>
      <c r="J12" s="37" t="s">
        <v>295</v>
      </c>
      <c r="K12" s="243" t="s">
        <v>297</v>
      </c>
    </row>
    <row r="13" spans="1:11">
      <c r="A13" s="39" t="s">
        <v>7</v>
      </c>
      <c r="B13" s="39" t="s">
        <v>7</v>
      </c>
      <c r="C13" s="39" t="s">
        <v>7</v>
      </c>
      <c r="D13" s="40" t="s">
        <v>129</v>
      </c>
      <c r="E13" s="39" t="s">
        <v>7</v>
      </c>
      <c r="F13" s="39" t="s">
        <v>0</v>
      </c>
      <c r="G13" s="39" t="s">
        <v>7</v>
      </c>
      <c r="H13" s="39" t="s">
        <v>0</v>
      </c>
      <c r="I13" s="39" t="s">
        <v>7</v>
      </c>
      <c r="J13" s="39" t="s">
        <v>0</v>
      </c>
      <c r="K13" s="39" t="s">
        <v>0</v>
      </c>
    </row>
    <row r="14" spans="1:11">
      <c r="A14" s="35"/>
      <c r="B14" s="35"/>
      <c r="C14" s="35"/>
      <c r="D14" s="35"/>
      <c r="E14" s="35"/>
      <c r="F14" s="35"/>
      <c r="G14" s="12"/>
      <c r="H14" s="12"/>
      <c r="I14" s="12"/>
      <c r="J14" s="12"/>
      <c r="K14" s="12"/>
    </row>
    <row r="15" spans="1:11">
      <c r="A15" s="12"/>
      <c r="B15" s="12"/>
      <c r="C15" s="12"/>
      <c r="D15" s="12"/>
      <c r="E15" s="12"/>
      <c r="F15" s="12"/>
      <c r="G15" s="12"/>
      <c r="H15" s="12"/>
      <c r="I15" s="12"/>
      <c r="J15" s="12"/>
      <c r="K15" s="12"/>
    </row>
    <row r="16" spans="1:11" ht="15.75">
      <c r="A16" s="64" t="str">
        <f>+'S&amp;D'!A22</f>
        <v>AES CORPORATION</v>
      </c>
      <c r="B16" s="91" t="str">
        <f>+'S&amp;D'!B22</f>
        <v>AES</v>
      </c>
      <c r="C16" s="91" t="str">
        <f>+'S&amp;D'!C22</f>
        <v>Power Wholesale</v>
      </c>
      <c r="D16" s="61">
        <f>+'S&amp;D'!G22</f>
        <v>28.76</v>
      </c>
      <c r="E16" s="63">
        <v>0.63</v>
      </c>
      <c r="F16" s="67">
        <f>+E16/D16</f>
        <v>2.1905424200278162E-2</v>
      </c>
      <c r="G16" s="63">
        <v>0.66</v>
      </c>
      <c r="H16" s="67">
        <f>+G16/D16</f>
        <v>2.294853963838665E-2</v>
      </c>
      <c r="I16" s="63">
        <v>0.82</v>
      </c>
      <c r="J16" s="67">
        <f>+I16/D16</f>
        <v>2.8511821974965226E-2</v>
      </c>
      <c r="K16" s="242">
        <f>RATE(3,,-G16,I16)</f>
        <v>7.5036737139935666E-2</v>
      </c>
    </row>
    <row r="17" spans="1:11" ht="15.75">
      <c r="A17" s="64" t="str">
        <f>+'S&amp;D'!A23</f>
        <v>DOMINION ENERGY INC</v>
      </c>
      <c r="B17" s="91" t="str">
        <f>+'S&amp;D'!B23</f>
        <v>D</v>
      </c>
      <c r="C17" s="91" t="str">
        <f>+'S&amp;D'!C23</f>
        <v>Power Wholesale</v>
      </c>
      <c r="D17" s="61">
        <f>+'S&amp;D'!G23</f>
        <v>61.32</v>
      </c>
      <c r="E17" s="63">
        <v>2.67</v>
      </c>
      <c r="F17" s="67">
        <f t="shared" ref="F17:F22" si="0">+E17/D17</f>
        <v>4.354207436399217E-2</v>
      </c>
      <c r="G17" s="63">
        <v>2.75</v>
      </c>
      <c r="H17" s="67">
        <f t="shared" ref="H17:H22" si="1">+G17/D17</f>
        <v>4.4846705805609913E-2</v>
      </c>
      <c r="I17" s="63">
        <v>3.3</v>
      </c>
      <c r="J17" s="67">
        <f t="shared" ref="J17:J22" si="2">+I17/D17</f>
        <v>5.3816046966731895E-2</v>
      </c>
      <c r="K17" s="242">
        <f>RATE(3,,-G17,I17)</f>
        <v>6.265856918494303E-2</v>
      </c>
    </row>
    <row r="18" spans="1:11" ht="15.75">
      <c r="A18" s="64" t="str">
        <f>+'S&amp;D'!A24</f>
        <v>EXELON CORPORATION</v>
      </c>
      <c r="B18" s="91" t="str">
        <f>+'S&amp;D'!B24</f>
        <v>EXC</v>
      </c>
      <c r="C18" s="91" t="str">
        <f>+'S&amp;D'!C24</f>
        <v>Power Wholesale</v>
      </c>
      <c r="D18" s="61">
        <f>+'S&amp;D'!G24</f>
        <v>43.23</v>
      </c>
      <c r="E18" s="63">
        <v>1.35</v>
      </c>
      <c r="F18" s="67">
        <f t="shared" si="0"/>
        <v>3.1228313671061766E-2</v>
      </c>
      <c r="G18" s="63">
        <v>1.45</v>
      </c>
      <c r="H18" s="67">
        <f t="shared" si="1"/>
        <v>3.3541522091140412E-2</v>
      </c>
      <c r="I18" s="63">
        <v>1.8</v>
      </c>
      <c r="J18" s="67">
        <f t="shared" si="2"/>
        <v>4.1637751561415685E-2</v>
      </c>
      <c r="K18" s="242">
        <f t="shared" ref="K18:K22" si="3">RATE(3,,-G18,I18)</f>
        <v>7.4735268605590974E-2</v>
      </c>
    </row>
    <row r="19" spans="1:11" ht="15.75">
      <c r="A19" s="64" t="str">
        <f>+'S&amp;D'!A25</f>
        <v>NEXTERA ENERGY INC</v>
      </c>
      <c r="B19" s="91" t="str">
        <f>+'S&amp;D'!B25</f>
        <v>NEE</v>
      </c>
      <c r="C19" s="91" t="str">
        <f>+'S&amp;D'!C25</f>
        <v>Power Wholesale</v>
      </c>
      <c r="D19" s="61">
        <f>+'S&amp;D'!G25</f>
        <v>83.6</v>
      </c>
      <c r="E19" s="63">
        <v>1.7</v>
      </c>
      <c r="F19" s="67">
        <f t="shared" si="0"/>
        <v>2.0334928229665074E-2</v>
      </c>
      <c r="G19" s="63">
        <v>1.87</v>
      </c>
      <c r="H19" s="67">
        <f t="shared" si="1"/>
        <v>2.2368421052631583E-2</v>
      </c>
      <c r="I19" s="63">
        <v>2.74</v>
      </c>
      <c r="J19" s="67">
        <f t="shared" si="2"/>
        <v>3.2775119617224888E-2</v>
      </c>
      <c r="K19" s="242">
        <f>RATE(3,,-G19,I19)</f>
        <v>0.13580293194044429</v>
      </c>
    </row>
    <row r="20" spans="1:11" ht="15.75">
      <c r="A20" s="64" t="str">
        <f>+'S&amp;D'!A26</f>
        <v>NRG ENERGY</v>
      </c>
      <c r="B20" s="91" t="str">
        <f>+'S&amp;D'!B26</f>
        <v>NRG</v>
      </c>
      <c r="C20" s="91" t="str">
        <f>+'S&amp;D'!C26</f>
        <v>Power Wholesale</v>
      </c>
      <c r="D20" s="61">
        <f>+'S&amp;D'!G26</f>
        <v>31.82</v>
      </c>
      <c r="E20" s="63">
        <v>1.4</v>
      </c>
      <c r="F20" s="67">
        <f t="shared" si="0"/>
        <v>4.399748585795097E-2</v>
      </c>
      <c r="G20" s="63">
        <v>1.51</v>
      </c>
      <c r="H20" s="67">
        <f t="shared" si="1"/>
        <v>4.7454431175361411E-2</v>
      </c>
      <c r="I20" s="63">
        <v>1.72</v>
      </c>
      <c r="J20" s="67">
        <f t="shared" si="2"/>
        <v>5.405405405405405E-2</v>
      </c>
      <c r="K20" s="242">
        <f t="shared" si="3"/>
        <v>4.4360650001745362E-2</v>
      </c>
    </row>
    <row r="21" spans="1:11" ht="15.75">
      <c r="A21" s="64" t="str">
        <f>+'S&amp;D'!A27</f>
        <v>SOUTHERN COMPANY</v>
      </c>
      <c r="B21" s="91" t="str">
        <f>+'S&amp;D'!B27</f>
        <v>SO</v>
      </c>
      <c r="C21" s="91" t="str">
        <f>+'S&amp;D'!C27</f>
        <v>Power Wholesale</v>
      </c>
      <c r="D21" s="61">
        <f>+'S&amp;D'!G27</f>
        <v>71.41</v>
      </c>
      <c r="E21" s="63">
        <v>2.7</v>
      </c>
      <c r="F21" s="67">
        <f t="shared" si="0"/>
        <v>3.780983055594455E-2</v>
      </c>
      <c r="G21" s="63">
        <v>2.78</v>
      </c>
      <c r="H21" s="67">
        <f t="shared" si="1"/>
        <v>3.8930121831676233E-2</v>
      </c>
      <c r="I21" s="63">
        <v>3.1</v>
      </c>
      <c r="J21" s="67">
        <f t="shared" si="2"/>
        <v>4.3411286934602999E-2</v>
      </c>
      <c r="K21" s="242">
        <f t="shared" si="3"/>
        <v>3.6984582014651095E-2</v>
      </c>
    </row>
    <row r="22" spans="1:11" ht="15.75">
      <c r="A22" s="64" t="str">
        <f>+'S&amp;D'!A28</f>
        <v>VISTRA ENERGY CORPORATION</v>
      </c>
      <c r="B22" s="91" t="str">
        <f>+'S&amp;D'!B28</f>
        <v>VST</v>
      </c>
      <c r="C22" s="91" t="str">
        <f>+'S&amp;D'!C28</f>
        <v>Power Wholesale</v>
      </c>
      <c r="D22" s="61">
        <f>+'S&amp;D'!G28</f>
        <v>23.2</v>
      </c>
      <c r="E22" s="63">
        <v>0.72</v>
      </c>
      <c r="F22" s="67">
        <f t="shared" si="0"/>
        <v>3.1034482758620689E-2</v>
      </c>
      <c r="G22" s="63">
        <v>0.72</v>
      </c>
      <c r="H22" s="67">
        <f t="shared" si="1"/>
        <v>3.1034482758620689E-2</v>
      </c>
      <c r="I22" s="63">
        <v>1.04</v>
      </c>
      <c r="J22" s="67">
        <f t="shared" si="2"/>
        <v>4.4827586206896558E-2</v>
      </c>
      <c r="K22" s="242">
        <f t="shared" si="3"/>
        <v>0.13040381433847711</v>
      </c>
    </row>
    <row r="23" spans="1:11" ht="15.75" thickBot="1">
      <c r="A23" s="12"/>
      <c r="B23" s="12"/>
      <c r="C23" s="44"/>
      <c r="D23" s="47"/>
      <c r="E23" s="47"/>
      <c r="F23" s="47"/>
      <c r="G23" s="47"/>
      <c r="H23" s="47"/>
      <c r="I23" s="47"/>
      <c r="J23" s="47"/>
      <c r="K23" s="47"/>
    </row>
    <row r="24" spans="1:11" ht="15.75" thickTop="1">
      <c r="A24" s="12"/>
      <c r="B24" s="12"/>
      <c r="D24" s="14" t="s">
        <v>53</v>
      </c>
      <c r="E24" s="16">
        <v>2.7</v>
      </c>
      <c r="F24" s="310">
        <v>4.3999999999999997E-2</v>
      </c>
      <c r="G24" s="16">
        <v>2.78</v>
      </c>
      <c r="H24" s="310">
        <v>4.7500000000000001E-2</v>
      </c>
      <c r="I24" s="16">
        <v>3.3</v>
      </c>
      <c r="J24" s="310">
        <v>5.4100000000000002E-2</v>
      </c>
      <c r="K24" s="310">
        <v>0.1358</v>
      </c>
    </row>
    <row r="25" spans="1:11">
      <c r="A25" s="12"/>
      <c r="B25" s="12"/>
      <c r="D25" s="14" t="s">
        <v>54</v>
      </c>
      <c r="E25" s="358">
        <v>0.63</v>
      </c>
      <c r="F25" s="311">
        <v>2.0299999999999999E-2</v>
      </c>
      <c r="G25" s="358">
        <v>0.66</v>
      </c>
      <c r="H25" s="311">
        <v>2.24E-2</v>
      </c>
      <c r="I25" s="358">
        <v>0.82</v>
      </c>
      <c r="J25" s="311">
        <v>2.8500000000000001E-2</v>
      </c>
      <c r="K25" s="311">
        <v>3.6999999999999998E-2</v>
      </c>
    </row>
    <row r="26" spans="1:11">
      <c r="A26" s="12"/>
      <c r="B26" s="12"/>
      <c r="D26" s="14" t="s">
        <v>18</v>
      </c>
      <c r="E26" s="17">
        <f t="shared" ref="E26:K26" si="4">MEDIAN(E16:E22)</f>
        <v>1.4</v>
      </c>
      <c r="F26" s="56">
        <f t="shared" si="4"/>
        <v>3.1228313671061766E-2</v>
      </c>
      <c r="G26" s="17">
        <f t="shared" si="4"/>
        <v>1.51</v>
      </c>
      <c r="H26" s="56">
        <f t="shared" si="4"/>
        <v>3.3541522091140412E-2</v>
      </c>
      <c r="I26" s="17">
        <f t="shared" si="4"/>
        <v>1.8</v>
      </c>
      <c r="J26" s="56">
        <f t="shared" si="4"/>
        <v>4.3411286934602999E-2</v>
      </c>
      <c r="K26" s="56">
        <f t="shared" si="4"/>
        <v>7.4735268605590974E-2</v>
      </c>
    </row>
    <row r="27" spans="1:11">
      <c r="A27" s="12"/>
      <c r="B27" s="12"/>
      <c r="D27" s="14" t="s">
        <v>457</v>
      </c>
      <c r="E27" s="21">
        <f t="shared" ref="E27:K27" si="5">AVERAGE(E16:E22)</f>
        <v>1.5957142857142856</v>
      </c>
      <c r="F27" s="58">
        <f t="shared" si="5"/>
        <v>3.2836077091073342E-2</v>
      </c>
      <c r="G27" s="21">
        <f t="shared" si="5"/>
        <v>1.6771428571428573</v>
      </c>
      <c r="H27" s="58">
        <f t="shared" si="5"/>
        <v>3.4446317764775275E-2</v>
      </c>
      <c r="I27" s="21">
        <f t="shared" si="5"/>
        <v>2.0742857142857143</v>
      </c>
      <c r="J27" s="58">
        <f t="shared" si="5"/>
        <v>4.2719095330841617E-2</v>
      </c>
      <c r="K27" s="58">
        <f t="shared" si="5"/>
        <v>7.9997507603683946E-2</v>
      </c>
    </row>
    <row r="28" spans="1:11">
      <c r="A28" s="12"/>
      <c r="B28" s="12"/>
      <c r="C28" s="12"/>
      <c r="D28" s="12"/>
      <c r="E28" s="12"/>
      <c r="F28" s="12"/>
      <c r="G28" s="12"/>
      <c r="H28" s="12"/>
      <c r="I28" s="12"/>
      <c r="J28" s="12"/>
      <c r="K28" s="12"/>
    </row>
    <row r="29" spans="1:11" ht="20.25">
      <c r="A29" s="12"/>
      <c r="B29" s="12"/>
      <c r="C29" s="12"/>
      <c r="D29" s="12"/>
      <c r="E29" s="12"/>
      <c r="F29" s="50" t="s">
        <v>0</v>
      </c>
      <c r="G29" s="65" t="s">
        <v>0</v>
      </c>
      <c r="H29" s="12"/>
      <c r="I29" s="12"/>
      <c r="J29" s="12"/>
      <c r="K29" s="12"/>
    </row>
    <row r="30" spans="1:11" ht="18.75">
      <c r="A30" s="244" t="s">
        <v>298</v>
      </c>
    </row>
  </sheetData>
  <pageMargins left="0.25" right="0.25" top="0.75" bottom="0.75" header="0.3" footer="0.3"/>
  <pageSetup scale="5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CFB36B36E7EE46B860E7832FBC9DDB" ma:contentTypeVersion="1" ma:contentTypeDescription="Create a new document." ma:contentTypeScope="" ma:versionID="bff476506a81a32367fb2f95cb3debc2">
  <xsd:schema xmlns:xsd="http://www.w3.org/2001/XMLSchema" xmlns:xs="http://www.w3.org/2001/XMLSchema" xmlns:p="http://schemas.microsoft.com/office/2006/metadata/properties" xmlns:ns2="f94b9277-b0a3-4d91-bade-04ea91219630" targetNamespace="http://schemas.microsoft.com/office/2006/metadata/properties" ma:root="true" ma:fieldsID="93ea9a64a9ab47897a537ad3dd05bc89" ns2:_="">
    <xsd:import namespace="f94b9277-b0a3-4d91-bade-04ea9121963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4b9277-b0a3-4d91-bade-04ea9121963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7892C40-6B06-466B-81D9-7EEB77348DF8}"/>
</file>

<file path=customXml/itemProps2.xml><?xml version="1.0" encoding="utf-8"?>
<ds:datastoreItem xmlns:ds="http://schemas.openxmlformats.org/officeDocument/2006/customXml" ds:itemID="{B50320B2-E55F-420F-9842-150A0F7D5198}"/>
</file>

<file path=customXml/itemProps3.xml><?xml version="1.0" encoding="utf-8"?>
<ds:datastoreItem xmlns:ds="http://schemas.openxmlformats.org/officeDocument/2006/customXml" ds:itemID="{5946C3E2-57CA-46B8-93F4-E5BF7F973A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Cover Sheet</vt:lpstr>
      <vt:lpstr>Yield CapRate</vt:lpstr>
      <vt:lpstr>Direct CapRates</vt:lpstr>
      <vt:lpstr>S&amp;D</vt:lpstr>
      <vt:lpstr>Market to Book Ratios</vt:lpstr>
      <vt:lpstr>Maintenance CapEx</vt:lpstr>
      <vt:lpstr>Beta for CAPM</vt:lpstr>
      <vt:lpstr>Earnings</vt:lpstr>
      <vt:lpstr>Dividends </vt:lpstr>
      <vt:lpstr>Direct Debt</vt:lpstr>
      <vt:lpstr>Yield Debt</vt:lpstr>
      <vt:lpstr>Direct GCF</vt:lpstr>
      <vt:lpstr>Direct NOPAT</vt:lpstr>
      <vt:lpstr>Growth &amp; Inflation Rates</vt:lpstr>
      <vt:lpstr>Indicated Yield Equity Rate </vt:lpstr>
      <vt:lpstr>CAPM</vt:lpstr>
      <vt:lpstr>Single Stage Div Growth Model</vt:lpstr>
      <vt:lpstr>Two-Stage Dividend Growth Model</vt:lpstr>
      <vt:lpstr>Multiples</vt:lpstr>
      <vt:lpstr>Info</vt:lpstr>
      <vt:lpstr>'Beta for CAPM'!Print_Area</vt:lpstr>
      <vt:lpstr>CAPM!Print_Area</vt:lpstr>
      <vt:lpstr>'Cover Sheet'!Print_Area</vt:lpstr>
      <vt:lpstr>'Direct CapRates'!Print_Area</vt:lpstr>
      <vt:lpstr>'Direct Debt'!Print_Area</vt:lpstr>
      <vt:lpstr>'Direct GCF'!Print_Area</vt:lpstr>
      <vt:lpstr>'Direct NOPAT'!Print_Area</vt:lpstr>
      <vt:lpstr>'Dividends '!Print_Area</vt:lpstr>
      <vt:lpstr>Earnings!Print_Area</vt:lpstr>
      <vt:lpstr>'Growth &amp; Inflation Rates'!Print_Area</vt:lpstr>
      <vt:lpstr>'Indicated Yield Equity Rate '!Print_Area</vt:lpstr>
      <vt:lpstr>'Maintenance CapEx'!Print_Area</vt:lpstr>
      <vt:lpstr>'Market to Book Ratios'!Print_Area</vt:lpstr>
      <vt:lpstr>Multiples!Print_Area</vt:lpstr>
      <vt:lpstr>'S&amp;D'!Print_Area</vt:lpstr>
      <vt:lpstr>'Single Stage Div Growth Model'!Print_Area</vt:lpstr>
      <vt:lpstr>'Two-Stage Dividend Growth Model'!Print_Area</vt:lpstr>
      <vt:lpstr>'Yield CapRate'!Print_Area</vt:lpstr>
      <vt:lpstr>'Yield Debt'!Print_Area</vt:lpstr>
    </vt:vector>
  </TitlesOfParts>
  <Company>Commonwealth of Kentucky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Cap Rate Study - Electric Wholesale</dc:title>
  <dc:creator>%USERNAME%</dc:creator>
  <cp:lastModifiedBy>Baker, Mike A (DOR)</cp:lastModifiedBy>
  <cp:lastPrinted>2023-05-30T15:23:54Z</cp:lastPrinted>
  <dcterms:created xsi:type="dcterms:W3CDTF">2016-02-12T19:29:24Z</dcterms:created>
  <dcterms:modified xsi:type="dcterms:W3CDTF">2023-06-05T15:12:22Z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0x01010019CFB36B36E7EE46B860E7832FBC9DDB</vt:lpwstr>
  </property>
</Properties>
</file>